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60" yWindow="96" windowWidth="20376" windowHeight="12816" activeTab="2"/>
  </bookViews>
  <sheets>
    <sheet name="Summary" sheetId="4" r:id="rId1"/>
    <sheet name="GIPL" sheetId="1" r:id="rId2"/>
    <sheet name="LNG Krk" sheetId="5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E50" i="5" l="1"/>
  <c r="E49" i="5"/>
  <c r="B50" i="5"/>
  <c r="B49" i="5"/>
  <c r="N49" i="1"/>
  <c r="N48" i="1"/>
  <c r="K49" i="1"/>
  <c r="K48" i="1"/>
  <c r="E48" i="1"/>
  <c r="E49" i="1"/>
  <c r="B49" i="1"/>
  <c r="B48" i="1"/>
  <c r="B45" i="1"/>
  <c r="B57" i="5"/>
  <c r="C73" i="5"/>
  <c r="B73" i="5"/>
  <c r="H14" i="4"/>
  <c r="B55" i="1"/>
  <c r="C68" i="1"/>
  <c r="B68" i="1"/>
  <c r="E12" i="4"/>
  <c r="C11" i="1"/>
  <c r="C7" i="1"/>
  <c r="C8" i="1"/>
  <c r="C9" i="1"/>
  <c r="C10" i="1"/>
  <c r="C12" i="1"/>
  <c r="C14" i="1"/>
  <c r="C15" i="1"/>
  <c r="C17" i="1"/>
  <c r="C19" i="1"/>
  <c r="D7" i="1"/>
  <c r="B56" i="1"/>
  <c r="B72" i="1"/>
  <c r="C22" i="5"/>
  <c r="C23" i="5"/>
  <c r="C24" i="5"/>
  <c r="C25" i="5"/>
  <c r="C27" i="5"/>
  <c r="C28" i="5"/>
  <c r="C35" i="5"/>
  <c r="D22" i="5"/>
  <c r="D23" i="5"/>
  <c r="D24" i="5"/>
  <c r="D25" i="5"/>
  <c r="D26" i="5"/>
  <c r="D27" i="5"/>
  <c r="D28" i="5"/>
  <c r="D29" i="5"/>
  <c r="D30" i="5"/>
  <c r="D31" i="5"/>
  <c r="D32" i="5"/>
  <c r="D33" i="5"/>
  <c r="D35" i="5"/>
  <c r="E22" i="5"/>
  <c r="E23" i="5"/>
  <c r="E24" i="5"/>
  <c r="E26" i="5"/>
  <c r="E27" i="5"/>
  <c r="E28" i="5"/>
  <c r="E29" i="5"/>
  <c r="E35" i="5"/>
  <c r="F22" i="5"/>
  <c r="F23" i="5"/>
  <c r="F24" i="5"/>
  <c r="F26" i="5"/>
  <c r="F27" i="5"/>
  <c r="F28" i="5"/>
  <c r="F29" i="5"/>
  <c r="F30" i="5"/>
  <c r="F31" i="5"/>
  <c r="F32" i="5"/>
  <c r="F33" i="5"/>
  <c r="F35" i="5"/>
  <c r="I10" i="4"/>
  <c r="C6" i="5"/>
  <c r="E6" i="5"/>
  <c r="C7" i="5"/>
  <c r="E7" i="5"/>
  <c r="C8" i="5"/>
  <c r="E8" i="5"/>
  <c r="E9" i="5"/>
  <c r="E10" i="5"/>
  <c r="C11" i="5"/>
  <c r="E11" i="5"/>
  <c r="C12" i="5"/>
  <c r="E12" i="5"/>
  <c r="E13" i="5"/>
  <c r="E19" i="5"/>
  <c r="F6" i="5"/>
  <c r="F7" i="5"/>
  <c r="F8" i="5"/>
  <c r="F9" i="5"/>
  <c r="F10" i="5"/>
  <c r="F11" i="5"/>
  <c r="F12" i="5"/>
  <c r="F13" i="5"/>
  <c r="F14" i="5"/>
  <c r="F15" i="5"/>
  <c r="F16" i="5"/>
  <c r="F17" i="5"/>
  <c r="F19" i="5"/>
  <c r="C9" i="5"/>
  <c r="C19" i="5"/>
  <c r="D6" i="5"/>
  <c r="D7" i="5"/>
  <c r="D8" i="5"/>
  <c r="D9" i="5"/>
  <c r="D10" i="5"/>
  <c r="D11" i="5"/>
  <c r="D12" i="5"/>
  <c r="D13" i="5"/>
  <c r="D14" i="5"/>
  <c r="D15" i="5"/>
  <c r="D16" i="5"/>
  <c r="D17" i="5"/>
  <c r="D19" i="5"/>
  <c r="H10" i="4"/>
  <c r="L9" i="1"/>
  <c r="L10" i="1"/>
  <c r="L11" i="1"/>
  <c r="L7" i="1"/>
  <c r="L8" i="1"/>
  <c r="L19" i="1"/>
  <c r="M26" i="1"/>
  <c r="M27" i="1"/>
  <c r="M28" i="1"/>
  <c r="M29" i="1"/>
  <c r="M30" i="1"/>
  <c r="M31" i="1"/>
  <c r="M32" i="1"/>
  <c r="L22" i="1"/>
  <c r="L23" i="1"/>
  <c r="L24" i="1"/>
  <c r="L25" i="1"/>
  <c r="L34" i="1"/>
  <c r="M22" i="1"/>
  <c r="M23" i="1"/>
  <c r="M24" i="1"/>
  <c r="M25" i="1"/>
  <c r="M34" i="1"/>
  <c r="N8" i="1"/>
  <c r="N9" i="1"/>
  <c r="N11" i="1"/>
  <c r="N7" i="1"/>
  <c r="N19" i="1"/>
  <c r="N26" i="1"/>
  <c r="O26" i="1"/>
  <c r="O27" i="1"/>
  <c r="O28" i="1"/>
  <c r="O29" i="1"/>
  <c r="O30" i="1"/>
  <c r="O31" i="1"/>
  <c r="O32" i="1"/>
  <c r="N23" i="1"/>
  <c r="N24" i="1"/>
  <c r="N22" i="1"/>
  <c r="N34" i="1"/>
  <c r="O22" i="1"/>
  <c r="O23" i="1"/>
  <c r="O24" i="1"/>
  <c r="O25" i="1"/>
  <c r="O34" i="1"/>
  <c r="F11" i="4"/>
  <c r="C26" i="1"/>
  <c r="C22" i="1"/>
  <c r="C23" i="1"/>
  <c r="C24" i="1"/>
  <c r="C25" i="1"/>
  <c r="C27" i="1"/>
  <c r="C29" i="1"/>
  <c r="C30" i="1"/>
  <c r="C32" i="1"/>
  <c r="C34" i="1"/>
  <c r="D22" i="1"/>
  <c r="D23" i="1"/>
  <c r="D24" i="1"/>
  <c r="D25" i="1"/>
  <c r="D26" i="1"/>
  <c r="D27" i="1"/>
  <c r="D28" i="1"/>
  <c r="D29" i="1"/>
  <c r="D30" i="1"/>
  <c r="D31" i="1"/>
  <c r="D32" i="1"/>
  <c r="D34" i="1"/>
  <c r="E26" i="1"/>
  <c r="E22" i="1"/>
  <c r="E23" i="1"/>
  <c r="E24" i="1"/>
  <c r="E25" i="1"/>
  <c r="E28" i="1"/>
  <c r="E29" i="1"/>
  <c r="E30" i="1"/>
  <c r="E31" i="1"/>
  <c r="E32" i="1"/>
  <c r="E34" i="1"/>
  <c r="F22" i="1"/>
  <c r="F23" i="1"/>
  <c r="F24" i="1"/>
  <c r="F25" i="1"/>
  <c r="F26" i="1"/>
  <c r="F27" i="1"/>
  <c r="F28" i="1"/>
  <c r="F29" i="1"/>
  <c r="F30" i="1"/>
  <c r="F31" i="1"/>
  <c r="F32" i="1"/>
  <c r="F34" i="1"/>
  <c r="F10" i="4"/>
  <c r="O7" i="1"/>
  <c r="O8" i="1"/>
  <c r="O9" i="1"/>
  <c r="O10" i="1"/>
  <c r="O11" i="1"/>
  <c r="O12" i="1"/>
  <c r="O13" i="1"/>
  <c r="O14" i="1"/>
  <c r="O15" i="1"/>
  <c r="O16" i="1"/>
  <c r="O17" i="1"/>
  <c r="O19" i="1"/>
  <c r="M7" i="1"/>
  <c r="M8" i="1"/>
  <c r="M9" i="1"/>
  <c r="M10" i="1"/>
  <c r="M11" i="1"/>
  <c r="M12" i="1"/>
  <c r="M13" i="1"/>
  <c r="M14" i="1"/>
  <c r="M15" i="1"/>
  <c r="M16" i="1"/>
  <c r="M17" i="1"/>
  <c r="M19" i="1"/>
  <c r="E11" i="4"/>
  <c r="E11" i="1"/>
  <c r="E7" i="1"/>
  <c r="E8" i="1"/>
  <c r="E9" i="1"/>
  <c r="E10" i="1"/>
  <c r="E13" i="1"/>
  <c r="E14" i="1"/>
  <c r="E15" i="1"/>
  <c r="E16" i="1"/>
  <c r="E17" i="1"/>
  <c r="E19" i="1"/>
  <c r="F7" i="1"/>
  <c r="F8" i="1"/>
  <c r="F9" i="1"/>
  <c r="F10" i="1"/>
  <c r="F11" i="1"/>
  <c r="F12" i="1"/>
  <c r="F13" i="1"/>
  <c r="F14" i="1"/>
  <c r="F15" i="1"/>
  <c r="F16" i="1"/>
  <c r="F17" i="1"/>
  <c r="F19" i="1"/>
  <c r="D8" i="1"/>
  <c r="D9" i="1"/>
  <c r="D10" i="1"/>
  <c r="D11" i="1"/>
  <c r="D12" i="1"/>
  <c r="D13" i="1"/>
  <c r="D14" i="1"/>
  <c r="D15" i="1"/>
  <c r="D16" i="1"/>
  <c r="D17" i="1"/>
  <c r="D19" i="1"/>
  <c r="E10" i="4"/>
  <c r="C39" i="1"/>
  <c r="E8" i="4"/>
  <c r="F8" i="4"/>
  <c r="B62" i="5"/>
  <c r="B74" i="5"/>
  <c r="C74" i="5"/>
  <c r="I14" i="4"/>
  <c r="B56" i="5"/>
  <c r="B70" i="5"/>
  <c r="C70" i="5"/>
  <c r="I12" i="4"/>
  <c r="C69" i="5"/>
  <c r="B69" i="5"/>
  <c r="H12" i="4"/>
  <c r="I6" i="4"/>
  <c r="H6" i="4"/>
  <c r="C56" i="1"/>
  <c r="C61" i="1"/>
  <c r="F73" i="1"/>
  <c r="G73" i="1"/>
  <c r="F15" i="4"/>
  <c r="C60" i="1"/>
  <c r="G72" i="1"/>
  <c r="F72" i="1"/>
  <c r="E15" i="4"/>
  <c r="B61" i="1"/>
  <c r="B73" i="1"/>
  <c r="C73" i="1"/>
  <c r="F14" i="4"/>
  <c r="C72" i="1"/>
  <c r="E14" i="4"/>
  <c r="C55" i="1"/>
  <c r="G69" i="1"/>
  <c r="F69" i="1"/>
  <c r="C69" i="1"/>
  <c r="B69" i="1"/>
  <c r="F7" i="4"/>
  <c r="E7" i="4"/>
  <c r="F12" i="4"/>
  <c r="F68" i="1"/>
  <c r="G68" i="1"/>
  <c r="E13" i="4"/>
  <c r="E6" i="4"/>
  <c r="F6" i="4"/>
  <c r="F13" i="4"/>
</calcChain>
</file>

<file path=xl/sharedStrings.xml><?xml version="1.0" encoding="utf-8"?>
<sst xmlns="http://schemas.openxmlformats.org/spreadsheetml/2006/main" count="201" uniqueCount="84">
  <si>
    <t>N-1</t>
  </si>
  <si>
    <t>GIPL</t>
  </si>
  <si>
    <t>Low Infra</t>
  </si>
  <si>
    <t>High Infra</t>
  </si>
  <si>
    <t>Krk LNG</t>
  </si>
  <si>
    <t>Import Route Diversification</t>
  </si>
  <si>
    <t>Seasonal Supply Balance Summer</t>
  </si>
  <si>
    <t>Seasonal Supply Balance Winter</t>
  </si>
  <si>
    <t>Bi-directional</t>
  </si>
  <si>
    <t>BY1</t>
  </si>
  <si>
    <t>CZ1</t>
  </si>
  <si>
    <t>DEg1</t>
  </si>
  <si>
    <t>DK1</t>
  </si>
  <si>
    <t>LNG_Tk_PL1</t>
  </si>
  <si>
    <t>LT1</t>
  </si>
  <si>
    <t>NPcPL1</t>
  </si>
  <si>
    <t>PL/YAM1</t>
  </si>
  <si>
    <t>SK1</t>
  </si>
  <si>
    <t>WSTcPL</t>
  </si>
  <si>
    <t>UA1</t>
  </si>
  <si>
    <t>DisruptedDemand</t>
  </si>
  <si>
    <t>Share</t>
  </si>
  <si>
    <t>Low</t>
  </si>
  <si>
    <t>Low+GIPL</t>
  </si>
  <si>
    <t>PL1</t>
  </si>
  <si>
    <t>High</t>
  </si>
  <si>
    <t>High-GIPL</t>
  </si>
  <si>
    <t>Project impact</t>
  </si>
  <si>
    <t>Sens of the improvement</t>
  </si>
  <si>
    <t>on Poland</t>
  </si>
  <si>
    <t>on Lithuania</t>
  </si>
  <si>
    <t>LNG_Tk_LT1</t>
  </si>
  <si>
    <t>LV1</t>
  </si>
  <si>
    <t>WSTcLT</t>
  </si>
  <si>
    <t>PL</t>
  </si>
  <si>
    <t>LT</t>
  </si>
  <si>
    <t>Impacted country</t>
  </si>
  <si>
    <t>Birectional indicator</t>
  </si>
  <si>
    <t>Non-FID</t>
  </si>
  <si>
    <t>X-Zone</t>
  </si>
  <si>
    <t>per IP</t>
  </si>
  <si>
    <t>Higher</t>
  </si>
  <si>
    <t>Peak demand</t>
  </si>
  <si>
    <t>-BY (323)</t>
  </si>
  <si>
    <t>Seasonal Balance indicators</t>
  </si>
  <si>
    <t>Summer</t>
  </si>
  <si>
    <t>Winter</t>
  </si>
  <si>
    <t>Green Glb Sce</t>
  </si>
  <si>
    <t>Export FID</t>
  </si>
  <si>
    <t>Export Non-FID</t>
  </si>
  <si>
    <t>Nb Imp X-Zone IP FID</t>
  </si>
  <si>
    <t>Nb Imp X-Zone IP Non-FID</t>
  </si>
  <si>
    <t>PL+GIPL</t>
  </si>
  <si>
    <t>LT+GIPL</t>
  </si>
  <si>
    <t>WGV FID /180</t>
  </si>
  <si>
    <t>WGV Non-FID /180</t>
  </si>
  <si>
    <t>na</t>
  </si>
  <si>
    <t>Low+LNG</t>
  </si>
  <si>
    <t>High-LNG</t>
  </si>
  <si>
    <t>HR</t>
  </si>
  <si>
    <t>HR+LNG</t>
  </si>
  <si>
    <t>HR/IAP1</t>
  </si>
  <si>
    <t>HU1</t>
  </si>
  <si>
    <t>IT1</t>
  </si>
  <si>
    <t>LNG_Tk_HR1</t>
  </si>
  <si>
    <t>NPcHR1</t>
  </si>
  <si>
    <t>RU/SST1</t>
  </si>
  <si>
    <t>SI1</t>
  </si>
  <si>
    <t>WSTcHR</t>
  </si>
  <si>
    <t>-HU (76)</t>
  </si>
  <si>
    <t>-SST (90)</t>
  </si>
  <si>
    <t>LNG</t>
  </si>
  <si>
    <t>Marginal evolution of indicators</t>
  </si>
  <si>
    <t>GWh/d</t>
  </si>
  <si>
    <t>Low infra</t>
  </si>
  <si>
    <t>WSTcPL (N-1)</t>
  </si>
  <si>
    <t>Summer demand</t>
  </si>
  <si>
    <t>Winter demand</t>
  </si>
  <si>
    <t>Unit: GWh/d</t>
  </si>
  <si>
    <t>BY</t>
  </si>
  <si>
    <t>one UGS facility</t>
  </si>
  <si>
    <t>Single largest infrastructure</t>
  </si>
  <si>
    <t>HU under Low</t>
  </si>
  <si>
    <t>SST under High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</si>
</sst>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_(* #,##0.0000_);_(* \(#,##0.0000\);_(* &quot;-&quot;??_);_(@_)"/>
  </numFmts>
  <fonts count="5">
    <font>
      <sz val="12"/>
      <color theme="1"/>
      <name val="Calibri (Body)"/>
      <family val="2"/>
    </font>
    <font>
      <sz val="12"/>
      <color theme="1"/>
      <name val="Calibri (Body)"/>
      <family val="2"/>
    </font>
    <font>
      <sz val="12"/>
      <color rgb="FFFF0000"/>
      <name val="Calibri (Body)"/>
      <family val="2"/>
    </font>
    <font>
      <b/>
      <sz val="12"/>
      <color theme="1"/>
      <name val="Calibri (Body)"/>
    </font>
    <font>
      <sz val="12"/>
      <name val="Calibri (Body)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2" fontId="0" fillId="0" borderId="0" xfId="0" applyNumberFormat="1"/>
    <xf numFmtId="164" fontId="0" fillId="0" borderId="0" xfId="1" applyFont="1"/>
    <xf numFmtId="165" fontId="0" fillId="0" borderId="0" xfId="1" applyNumberFormat="1" applyFont="1"/>
    <xf numFmtId="165" fontId="2" fillId="0" borderId="0" xfId="1" applyNumberFormat="1" applyFont="1"/>
    <xf numFmtId="165" fontId="0" fillId="0" borderId="0" xfId="0" applyNumberFormat="1"/>
    <xf numFmtId="165" fontId="2" fillId="0" borderId="0" xfId="0" applyNumberFormat="1" applyFont="1"/>
    <xf numFmtId="2" fontId="0" fillId="0" borderId="0" xfId="1" applyNumberFormat="1" applyFont="1"/>
    <xf numFmtId="0" fontId="3" fillId="0" borderId="0" xfId="0" applyFont="1"/>
    <xf numFmtId="165" fontId="4" fillId="0" borderId="0" xfId="1" applyNumberFormat="1" applyFont="1"/>
    <xf numFmtId="0" fontId="3" fillId="0" borderId="0" xfId="0" applyFont="1" applyAlignment="1">
      <alignment horizontal="center" wrapText="1"/>
    </xf>
    <xf numFmtId="164" fontId="0" fillId="0" borderId="0" xfId="0" applyNumberFormat="1"/>
    <xf numFmtId="0" fontId="3" fillId="2" borderId="0" xfId="0" applyFont="1" applyFill="1" applyAlignment="1">
      <alignment horizontal="center" wrapText="1"/>
    </xf>
    <xf numFmtId="0" fontId="0" fillId="0" borderId="0" xfId="0" quotePrefix="1"/>
    <xf numFmtId="0" fontId="0" fillId="2" borderId="0" xfId="0" applyFill="1" applyAlignment="1">
      <alignment horizontal="center"/>
    </xf>
    <xf numFmtId="2" fontId="0" fillId="2" borderId="0" xfId="0" applyNumberFormat="1" applyFill="1" applyAlignment="1">
      <alignment horizontal="right"/>
    </xf>
    <xf numFmtId="0" fontId="3" fillId="0" borderId="0" xfId="0" applyFont="1" applyFill="1" applyAlignment="1">
      <alignment horizontal="center" wrapText="1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right"/>
    </xf>
    <xf numFmtId="0" fontId="0" fillId="0" borderId="1" xfId="0" applyBorder="1"/>
    <xf numFmtId="0" fontId="0" fillId="2" borderId="2" xfId="0" applyFill="1" applyBorder="1" applyAlignment="1">
      <alignment horizontal="center"/>
    </xf>
    <xf numFmtId="2" fontId="0" fillId="2" borderId="2" xfId="0" applyNumberFormat="1" applyFill="1" applyBorder="1" applyAlignment="1">
      <alignment horizontal="right"/>
    </xf>
    <xf numFmtId="0" fontId="0" fillId="0" borderId="2" xfId="0" applyBorder="1"/>
    <xf numFmtId="1" fontId="0" fillId="2" borderId="1" xfId="1" applyNumberFormat="1" applyFont="1" applyFill="1" applyBorder="1" applyAlignment="1">
      <alignment horizontal="right"/>
    </xf>
    <xf numFmtId="1" fontId="0" fillId="0" borderId="1" xfId="0" applyNumberFormat="1" applyBorder="1"/>
    <xf numFmtId="1" fontId="0" fillId="0" borderId="1" xfId="1" applyNumberFormat="1" applyFont="1" applyBorder="1"/>
    <xf numFmtId="1" fontId="0" fillId="2" borderId="2" xfId="1" applyNumberFormat="1" applyFont="1" applyFill="1" applyBorder="1" applyAlignment="1">
      <alignment horizontal="right"/>
    </xf>
    <xf numFmtId="1" fontId="0" fillId="0" borderId="2" xfId="1" applyNumberFormat="1" applyFont="1" applyBorder="1"/>
    <xf numFmtId="2" fontId="0" fillId="0" borderId="1" xfId="0" applyNumberFormat="1" applyBorder="1"/>
    <xf numFmtId="0" fontId="0" fillId="0" borderId="0" xfId="0" applyAlignment="1">
      <alignment wrapText="1"/>
    </xf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166" fontId="0" fillId="0" borderId="0" xfId="0" applyNumberFormat="1"/>
    <xf numFmtId="165" fontId="0" fillId="3" borderId="0" xfId="1" applyNumberFormat="1" applyFont="1" applyFill="1"/>
    <xf numFmtId="9" fontId="0" fillId="0" borderId="0" xfId="2" applyFont="1"/>
    <xf numFmtId="9" fontId="0" fillId="2" borderId="1" xfId="2" applyFont="1" applyFill="1" applyBorder="1" applyAlignment="1">
      <alignment horizontal="right"/>
    </xf>
    <xf numFmtId="9" fontId="0" fillId="2" borderId="2" xfId="2" applyFont="1" applyFill="1" applyBorder="1" applyAlignment="1">
      <alignment horizontal="right"/>
    </xf>
    <xf numFmtId="9" fontId="0" fillId="0" borderId="1" xfId="2" applyFont="1" applyBorder="1"/>
    <xf numFmtId="9" fontId="0" fillId="0" borderId="2" xfId="2" applyFont="1" applyBorder="1"/>
    <xf numFmtId="0" fontId="0" fillId="0" borderId="0" xfId="0" applyFill="1"/>
    <xf numFmtId="165" fontId="0" fillId="0" borderId="0" xfId="1" applyNumberFormat="1" applyFont="1" applyFill="1"/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3" fillId="2" borderId="0" xfId="0" applyFont="1" applyFill="1" applyAlignment="1">
      <alignment horizontal="center"/>
    </xf>
    <xf numFmtId="2" fontId="0" fillId="2" borderId="1" xfId="0" applyNumberFormat="1" applyFill="1" applyBorder="1" applyAlignment="1">
      <alignment horizontal="center" vertical="center"/>
    </xf>
    <xf numFmtId="2" fontId="0" fillId="2" borderId="2" xfId="0" applyNumberForma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48"/>
  <sheetViews>
    <sheetView workbookViewId="0">
      <pane xSplit="3" ySplit="5" topLeftCell="D6" activePane="bottomRight" state="frozen"/>
      <selection pane="topRight" activeCell="D1" sqref="D1"/>
      <selection pane="bottomLeft" activeCell="A5" sqref="A5"/>
      <selection pane="bottomRight" activeCell="E21" sqref="E21"/>
    </sheetView>
  </sheetViews>
  <sheetFormatPr defaultRowHeight="15"/>
  <cols>
    <col min="1" max="1" width="2" customWidth="1"/>
    <col min="2" max="2" width="30.81640625" bestFit="1" customWidth="1"/>
    <col min="3" max="4" width="12.08984375" customWidth="1"/>
    <col min="8" max="8" width="6.08984375" customWidth="1"/>
    <col min="9" max="9" width="5.54296875" bestFit="1" customWidth="1"/>
  </cols>
  <sheetData>
    <row r="3" spans="2:9" ht="15.6">
      <c r="B3" s="10" t="s">
        <v>72</v>
      </c>
      <c r="C3" s="52" t="s">
        <v>28</v>
      </c>
      <c r="D3" s="12"/>
      <c r="E3" s="49" t="s">
        <v>27</v>
      </c>
      <c r="F3" s="49"/>
      <c r="G3" s="49"/>
      <c r="H3" s="49"/>
      <c r="I3" s="49"/>
    </row>
    <row r="4" spans="2:9" ht="15.6">
      <c r="C4" s="52"/>
      <c r="D4" s="53" t="s">
        <v>1</v>
      </c>
      <c r="E4" s="53"/>
      <c r="F4" s="53"/>
      <c r="G4" s="49" t="s">
        <v>4</v>
      </c>
      <c r="H4" s="49"/>
      <c r="I4" s="49"/>
    </row>
    <row r="5" spans="2:9" s="31" customFormat="1" ht="31.2">
      <c r="C5" s="52"/>
      <c r="D5" s="14" t="s">
        <v>36</v>
      </c>
      <c r="E5" s="32" t="s">
        <v>2</v>
      </c>
      <c r="F5" s="32" t="s">
        <v>3</v>
      </c>
      <c r="G5" s="18" t="s">
        <v>36</v>
      </c>
      <c r="H5" s="33" t="s">
        <v>2</v>
      </c>
      <c r="I5" s="33" t="s">
        <v>3</v>
      </c>
    </row>
    <row r="6" spans="2:9" ht="15.75" customHeight="1">
      <c r="B6" s="43" t="s">
        <v>0</v>
      </c>
      <c r="C6" s="45" t="s">
        <v>41</v>
      </c>
      <c r="D6" s="19" t="s">
        <v>34</v>
      </c>
      <c r="E6" s="37">
        <f>GIPL!E48-GIPL!B48</f>
        <v>2.2189915066187171E-2</v>
      </c>
      <c r="F6" s="37">
        <f>GIPL!B49-GIPL!E49</f>
        <v>2.2189915066187282E-2</v>
      </c>
      <c r="G6" s="21" t="s">
        <v>59</v>
      </c>
      <c r="H6" s="39">
        <f>'LNG Krk'!E49-'LNG Krk'!B49</f>
        <v>0.55264423076923075</v>
      </c>
      <c r="I6" s="39">
        <f>'LNG Krk'!B50-'LNG Krk'!E50</f>
        <v>0.55264423076923119</v>
      </c>
    </row>
    <row r="7" spans="2:9" ht="15.75" customHeight="1">
      <c r="B7" s="44"/>
      <c r="C7" s="46"/>
      <c r="D7" s="22" t="s">
        <v>35</v>
      </c>
      <c r="E7" s="38">
        <f>GIPL!N48-GIPL!K48</f>
        <v>0.36363636363636365</v>
      </c>
      <c r="F7" s="38">
        <f>GIPL!K49-GIPL!N49</f>
        <v>0.36363636363636376</v>
      </c>
      <c r="G7" s="24"/>
      <c r="H7" s="40"/>
      <c r="I7" s="40"/>
    </row>
    <row r="8" spans="2:9" ht="15.75" customHeight="1">
      <c r="B8" s="51" t="s">
        <v>8</v>
      </c>
      <c r="C8" s="48" t="s">
        <v>41</v>
      </c>
      <c r="D8" s="16" t="s">
        <v>40</v>
      </c>
      <c r="E8" s="54">
        <f>GIPL!C39</f>
        <v>0.4264705882352941</v>
      </c>
      <c r="F8" s="54">
        <f>E8</f>
        <v>0.4264705882352941</v>
      </c>
      <c r="G8" t="s">
        <v>59</v>
      </c>
      <c r="H8" s="50" t="s">
        <v>56</v>
      </c>
      <c r="I8" s="50"/>
    </row>
    <row r="9" spans="2:9" ht="15.75" customHeight="1">
      <c r="B9" s="51"/>
      <c r="C9" s="48"/>
      <c r="D9" s="16" t="s">
        <v>39</v>
      </c>
      <c r="E9" s="55"/>
      <c r="F9" s="55"/>
    </row>
    <row r="10" spans="2:9" ht="15.75" customHeight="1">
      <c r="B10" s="43" t="s">
        <v>5</v>
      </c>
      <c r="C10" s="45" t="s">
        <v>41</v>
      </c>
      <c r="D10" s="19" t="s">
        <v>34</v>
      </c>
      <c r="E10" s="25">
        <f>-(GIPL!F19-GIPL!D19)</f>
        <v>144.79271024598211</v>
      </c>
      <c r="F10" s="25">
        <f>-(GIPL!D34-GIPL!F34)</f>
        <v>53.672474950723199</v>
      </c>
      <c r="G10" s="21" t="s">
        <v>59</v>
      </c>
      <c r="H10" s="26">
        <f>-('LNG Krk'!F19-'LNG Krk'!D19)</f>
        <v>1740.085012272762</v>
      </c>
      <c r="I10" s="27">
        <f>-('LNG Krk'!D35-'LNG Krk'!F35)</f>
        <v>507.7250774181457</v>
      </c>
    </row>
    <row r="11" spans="2:9" ht="15.75" customHeight="1">
      <c r="B11" s="44"/>
      <c r="C11" s="46"/>
      <c r="D11" s="22" t="s">
        <v>35</v>
      </c>
      <c r="E11" s="28">
        <f>-(GIPL!O19-GIPL!M19)</f>
        <v>1275.1996444022698</v>
      </c>
      <c r="F11" s="28">
        <f>-(GIPL!M34-GIPL!O34)</f>
        <v>962.70323281855417</v>
      </c>
      <c r="G11" s="24"/>
      <c r="H11" s="29"/>
      <c r="I11" s="29"/>
    </row>
    <row r="12" spans="2:9" ht="15.75" customHeight="1">
      <c r="B12" s="47" t="s">
        <v>6</v>
      </c>
      <c r="C12" s="48" t="s">
        <v>41</v>
      </c>
      <c r="D12" s="16" t="s">
        <v>34</v>
      </c>
      <c r="E12" s="17">
        <f>GIPL!C68-GIPL!B68</f>
        <v>0.14196242171189979</v>
      </c>
      <c r="F12" s="17">
        <f>GIPL!B69-GIPL!C69</f>
        <v>0.14196242171189977</v>
      </c>
      <c r="G12" t="s">
        <v>59</v>
      </c>
      <c r="H12" s="3">
        <f>'LNG Krk'!C69-'LNG Krk'!B69</f>
        <v>0</v>
      </c>
      <c r="I12" s="3">
        <f>'LNG Krk'!B70-'LNG Krk'!C70</f>
        <v>0.70956790123456814</v>
      </c>
    </row>
    <row r="13" spans="2:9" ht="15.75" customHeight="1">
      <c r="B13" s="47"/>
      <c r="C13" s="48"/>
      <c r="D13" s="16" t="s">
        <v>35</v>
      </c>
      <c r="E13" s="17">
        <f>GIPL!G68-GIPL!F68</f>
        <v>0.54716981132075482</v>
      </c>
      <c r="F13" s="17">
        <f>GIPL!F69-GIPL!G69</f>
        <v>1.3235849056603772</v>
      </c>
    </row>
    <row r="14" spans="2:9" ht="15.75" customHeight="1">
      <c r="B14" s="43" t="s">
        <v>7</v>
      </c>
      <c r="C14" s="45" t="s">
        <v>41</v>
      </c>
      <c r="D14" s="19" t="s">
        <v>34</v>
      </c>
      <c r="E14" s="20">
        <f>GIPL!C72-GIPL!B72</f>
        <v>5.2949999999999921E-2</v>
      </c>
      <c r="F14" s="20">
        <f>GIPL!B73-GIPL!C73</f>
        <v>8.4577114427860645E-2</v>
      </c>
      <c r="G14" s="21" t="s">
        <v>59</v>
      </c>
      <c r="H14" s="30">
        <f>-'LNG Krk'!C73+'LNG Krk'!B73</f>
        <v>-0.32234071894823946</v>
      </c>
      <c r="I14" s="30">
        <f>'LNG Krk'!B74-'LNG Krk'!C74</f>
        <v>0.38573825503355708</v>
      </c>
    </row>
    <row r="15" spans="2:9">
      <c r="B15" s="44"/>
      <c r="C15" s="46"/>
      <c r="D15" s="22" t="s">
        <v>35</v>
      </c>
      <c r="E15" s="23">
        <f>GIPL!G72-GIPL!F72</f>
        <v>0.58564814814814814</v>
      </c>
      <c r="F15" s="23">
        <f>GIPL!F73-GIPL!G73</f>
        <v>0.58472222222222214</v>
      </c>
      <c r="G15" s="24"/>
      <c r="H15" s="24"/>
      <c r="I15" s="24"/>
    </row>
    <row r="16" spans="2:9">
      <c r="E16" s="1"/>
      <c r="F16" s="1"/>
    </row>
    <row r="19" spans="5:8">
      <c r="E19" s="5"/>
      <c r="F19" s="5"/>
      <c r="G19" s="7"/>
      <c r="H19" s="5"/>
    </row>
    <row r="20" spans="5:8">
      <c r="E20" s="5"/>
      <c r="F20" s="5"/>
      <c r="G20" s="8"/>
      <c r="H20" s="6"/>
    </row>
    <row r="21" spans="5:8">
      <c r="E21" s="5"/>
      <c r="F21" s="5"/>
      <c r="G21" s="7"/>
      <c r="H21" s="5"/>
    </row>
    <row r="22" spans="5:8">
      <c r="E22" s="5"/>
      <c r="F22" s="5"/>
      <c r="G22" s="7"/>
      <c r="H22" s="5"/>
    </row>
    <row r="23" spans="5:8">
      <c r="E23" s="5"/>
      <c r="F23" s="5"/>
      <c r="G23" s="7"/>
      <c r="H23" s="5"/>
    </row>
    <row r="24" spans="5:8">
      <c r="E24" s="5"/>
      <c r="F24" s="5"/>
      <c r="G24" s="7"/>
      <c r="H24" s="5"/>
    </row>
    <row r="25" spans="5:8">
      <c r="E25" s="5"/>
      <c r="F25" s="5"/>
      <c r="G25" s="7"/>
      <c r="H25" s="6"/>
    </row>
    <row r="26" spans="5:8">
      <c r="E26" s="5"/>
      <c r="F26" s="5"/>
      <c r="G26" s="7"/>
      <c r="H26" s="5"/>
    </row>
    <row r="27" spans="5:8">
      <c r="E27" s="5"/>
      <c r="F27" s="5"/>
      <c r="G27" s="7"/>
      <c r="H27" s="5"/>
    </row>
    <row r="28" spans="5:8">
      <c r="E28" s="5"/>
      <c r="F28" s="5"/>
      <c r="G28" s="7"/>
      <c r="H28" s="5"/>
    </row>
    <row r="29" spans="5:8">
      <c r="E29" s="5"/>
      <c r="F29" s="5"/>
      <c r="G29" s="7"/>
      <c r="H29" s="5"/>
    </row>
    <row r="30" spans="5:8">
      <c r="E30" s="5"/>
      <c r="F30" s="5"/>
      <c r="G30" s="7"/>
      <c r="H30" s="5"/>
    </row>
    <row r="31" spans="5:8">
      <c r="E31" s="5"/>
      <c r="F31" s="5"/>
      <c r="H31" s="5"/>
    </row>
    <row r="32" spans="5:8">
      <c r="E32" s="5"/>
      <c r="F32" s="5"/>
      <c r="G32" s="7"/>
      <c r="H32" s="5"/>
    </row>
    <row r="35" spans="5:8">
      <c r="E35" s="5"/>
      <c r="F35" s="5"/>
      <c r="G35" s="5"/>
      <c r="H35" s="5"/>
    </row>
    <row r="36" spans="5:8">
      <c r="E36" s="5"/>
      <c r="F36" s="5"/>
      <c r="G36" s="5"/>
      <c r="H36" s="5"/>
    </row>
    <row r="37" spans="5:8">
      <c r="E37" s="5"/>
      <c r="F37" s="5"/>
      <c r="G37" s="5"/>
      <c r="H37" s="5"/>
    </row>
    <row r="38" spans="5:8">
      <c r="E38" s="5"/>
      <c r="F38" s="5"/>
      <c r="G38" s="5"/>
      <c r="H38" s="5"/>
    </row>
    <row r="39" spans="5:8">
      <c r="E39" s="5"/>
      <c r="F39" s="5"/>
      <c r="G39" s="5"/>
      <c r="H39" s="5"/>
    </row>
    <row r="40" spans="5:8">
      <c r="E40" s="5"/>
      <c r="F40" s="5"/>
      <c r="G40" s="5"/>
      <c r="H40" s="5"/>
    </row>
    <row r="41" spans="5:8">
      <c r="E41" s="5"/>
      <c r="F41" s="5"/>
      <c r="G41" s="5"/>
      <c r="H41" s="6"/>
    </row>
    <row r="42" spans="5:8">
      <c r="E42" s="5"/>
      <c r="F42" s="5"/>
      <c r="G42" s="5"/>
      <c r="H42" s="5"/>
    </row>
    <row r="43" spans="5:8">
      <c r="E43" s="5"/>
      <c r="F43" s="5"/>
      <c r="G43" s="5"/>
      <c r="H43" s="5"/>
    </row>
    <row r="44" spans="5:8">
      <c r="E44" s="5"/>
      <c r="F44" s="5"/>
      <c r="G44" s="5"/>
      <c r="H44" s="5"/>
    </row>
    <row r="45" spans="5:8">
      <c r="E45" s="5"/>
      <c r="F45" s="5"/>
      <c r="G45" s="5"/>
      <c r="H45" s="5"/>
    </row>
    <row r="46" spans="5:8">
      <c r="E46" s="5"/>
      <c r="F46" s="5"/>
      <c r="G46" s="5"/>
      <c r="H46" s="5"/>
    </row>
    <row r="47" spans="5:8">
      <c r="E47" s="5"/>
      <c r="F47" s="5"/>
      <c r="G47" s="5"/>
      <c r="H47" s="5"/>
    </row>
    <row r="48" spans="5:8">
      <c r="E48" s="5"/>
      <c r="F48" s="5"/>
      <c r="G48" s="5"/>
      <c r="H48" s="5"/>
    </row>
  </sheetData>
  <mergeCells count="17">
    <mergeCell ref="G4:I4"/>
    <mergeCell ref="H8:I8"/>
    <mergeCell ref="B6:B7"/>
    <mergeCell ref="C6:C7"/>
    <mergeCell ref="C8:C9"/>
    <mergeCell ref="B8:B9"/>
    <mergeCell ref="C3:C5"/>
    <mergeCell ref="D4:F4"/>
    <mergeCell ref="E3:I3"/>
    <mergeCell ref="E8:E9"/>
    <mergeCell ref="F8:F9"/>
    <mergeCell ref="B14:B15"/>
    <mergeCell ref="C14:C15"/>
    <mergeCell ref="B12:B13"/>
    <mergeCell ref="C12:C13"/>
    <mergeCell ref="B10:B11"/>
    <mergeCell ref="C10:C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3"/>
  <sheetViews>
    <sheetView topLeftCell="A19" workbookViewId="0">
      <selection activeCell="A45" sqref="A45:XFD45"/>
    </sheetView>
  </sheetViews>
  <sheetFormatPr defaultRowHeight="15"/>
  <cols>
    <col min="1" max="1" width="24.81640625" customWidth="1"/>
    <col min="2" max="2" width="8" customWidth="1"/>
    <col min="3" max="3" width="13.453125" bestFit="1" customWidth="1"/>
    <col min="4" max="4" width="6.54296875" bestFit="1" customWidth="1"/>
    <col min="5" max="5" width="9.08984375" bestFit="1" customWidth="1"/>
    <col min="6" max="6" width="6.54296875" bestFit="1" customWidth="1"/>
    <col min="7" max="7" width="7.54296875" bestFit="1" customWidth="1"/>
    <col min="8" max="8" width="6.54296875" bestFit="1" customWidth="1"/>
    <col min="9" max="9" width="6.08984375" customWidth="1"/>
    <col min="10" max="10" width="11.08984375" customWidth="1"/>
    <col min="11" max="11" width="6" customWidth="1"/>
    <col min="12" max="12" width="7" customWidth="1"/>
    <col min="13" max="13" width="6.54296875" customWidth="1"/>
    <col min="14" max="14" width="9.08984375" customWidth="1"/>
    <col min="15" max="15" width="6.54296875" customWidth="1"/>
    <col min="16" max="16" width="4.54296875" customWidth="1"/>
  </cols>
  <sheetData>
    <row r="1" spans="1:22">
      <c r="A1" t="s">
        <v>78</v>
      </c>
    </row>
    <row r="3" spans="1:22" ht="15.6">
      <c r="A3" s="10" t="s">
        <v>5</v>
      </c>
    </row>
    <row r="4" spans="1:22" ht="15.6">
      <c r="A4" s="10"/>
    </row>
    <row r="5" spans="1:22">
      <c r="A5" t="s">
        <v>29</v>
      </c>
      <c r="B5" s="50" t="s">
        <v>73</v>
      </c>
      <c r="C5" s="50"/>
      <c r="J5" t="s">
        <v>30</v>
      </c>
    </row>
    <row r="6" spans="1:22" ht="15.6">
      <c r="A6" s="10" t="s">
        <v>74</v>
      </c>
      <c r="C6" t="s">
        <v>22</v>
      </c>
      <c r="D6" t="s">
        <v>21</v>
      </c>
      <c r="E6" t="s">
        <v>23</v>
      </c>
      <c r="F6" t="s">
        <v>21</v>
      </c>
      <c r="L6" t="s">
        <v>22</v>
      </c>
      <c r="M6" t="s">
        <v>21</v>
      </c>
      <c r="N6" t="s">
        <v>23</v>
      </c>
      <c r="O6" t="s">
        <v>21</v>
      </c>
    </row>
    <row r="7" spans="1:22">
      <c r="A7" t="s">
        <v>9</v>
      </c>
      <c r="B7" s="5">
        <v>174.47499999999999</v>
      </c>
      <c r="C7" s="5">
        <f>B7</f>
        <v>174.47499999999999</v>
      </c>
      <c r="D7" s="5">
        <f t="shared" ref="D7:D17" si="0">((C7/C$19)*100)^2</f>
        <v>616.60649013931493</v>
      </c>
      <c r="E7" s="5">
        <f>C7</f>
        <v>174.47499999999999</v>
      </c>
      <c r="F7" s="5">
        <f t="shared" ref="F7:F17" si="1">((E7/E$19)*100)^2</f>
        <v>568.69401141045375</v>
      </c>
      <c r="G7" s="7"/>
      <c r="H7" s="5"/>
      <c r="J7" t="s">
        <v>9</v>
      </c>
      <c r="K7">
        <v>323</v>
      </c>
      <c r="L7">
        <f>K7</f>
        <v>323</v>
      </c>
      <c r="M7" s="5">
        <f>((L7/L$19)*100)^2</f>
        <v>5456.8926260566768</v>
      </c>
      <c r="N7">
        <f>L7</f>
        <v>323</v>
      </c>
      <c r="O7" s="5">
        <f>((N7/N$19)*100)^2</f>
        <v>4086.884839320729</v>
      </c>
      <c r="R7" s="5"/>
      <c r="S7" s="5"/>
      <c r="T7" s="5"/>
      <c r="U7" s="5"/>
      <c r="V7" s="5"/>
    </row>
    <row r="8" spans="1:22">
      <c r="A8" t="s">
        <v>10</v>
      </c>
      <c r="B8" s="5">
        <v>28.03</v>
      </c>
      <c r="C8" s="5">
        <f t="shared" ref="C8:C17" si="2">B8</f>
        <v>28.03</v>
      </c>
      <c r="D8" s="5">
        <f t="shared" si="0"/>
        <v>15.914312182850665</v>
      </c>
      <c r="E8" s="5">
        <f t="shared" ref="E8:E11" si="3">C8</f>
        <v>28.03</v>
      </c>
      <c r="F8" s="5">
        <f t="shared" si="1"/>
        <v>14.677714521069625</v>
      </c>
      <c r="G8" s="8"/>
      <c r="H8" s="6"/>
      <c r="J8" t="s">
        <v>31</v>
      </c>
      <c r="K8">
        <v>52.25</v>
      </c>
      <c r="L8">
        <f t="shared" ref="L8" si="4">K8</f>
        <v>52.25</v>
      </c>
      <c r="M8" s="5">
        <f>((L8/L$19)*100)^2</f>
        <v>142.79498437561804</v>
      </c>
      <c r="N8">
        <f t="shared" ref="N8:N9" si="5">L8</f>
        <v>52.25</v>
      </c>
      <c r="O8" s="5">
        <f>((N8/N$19)*100)^2</f>
        <v>106.94486711890318</v>
      </c>
      <c r="R8" s="5"/>
      <c r="S8" s="5"/>
      <c r="T8" s="5"/>
      <c r="U8" s="5"/>
      <c r="V8" s="5"/>
    </row>
    <row r="9" spans="1:22">
      <c r="A9" t="s">
        <v>11</v>
      </c>
      <c r="B9" s="5">
        <v>48.702999999999996</v>
      </c>
      <c r="C9" s="5">
        <f t="shared" si="2"/>
        <v>48.702999999999996</v>
      </c>
      <c r="D9" s="5">
        <f t="shared" si="0"/>
        <v>48.045542873950133</v>
      </c>
      <c r="E9" s="5">
        <f t="shared" si="3"/>
        <v>48.702999999999996</v>
      </c>
      <c r="F9" s="5">
        <f t="shared" si="1"/>
        <v>44.312236319806289</v>
      </c>
      <c r="G9" s="7"/>
      <c r="H9" s="5"/>
      <c r="J9" t="s">
        <v>32</v>
      </c>
      <c r="K9">
        <v>62</v>
      </c>
      <c r="L9">
        <f t="shared" ref="L9:L10" si="6">K9</f>
        <v>62</v>
      </c>
      <c r="M9" s="5">
        <f>((L9/L$19)*100)^2</f>
        <v>201.05910393621971</v>
      </c>
      <c r="N9">
        <f t="shared" si="5"/>
        <v>62</v>
      </c>
      <c r="O9" s="5">
        <f>((N9/N$19)*100)^2</f>
        <v>150.58119336281271</v>
      </c>
      <c r="R9" s="5"/>
      <c r="S9" s="5"/>
      <c r="T9" s="5"/>
      <c r="U9" s="5"/>
      <c r="V9" s="5"/>
    </row>
    <row r="10" spans="1:22">
      <c r="A10" t="s">
        <v>12</v>
      </c>
      <c r="B10" s="5">
        <v>0</v>
      </c>
      <c r="C10" s="5">
        <f t="shared" si="2"/>
        <v>0</v>
      </c>
      <c r="D10" s="5">
        <f t="shared" si="0"/>
        <v>0</v>
      </c>
      <c r="E10" s="5">
        <f t="shared" si="3"/>
        <v>0</v>
      </c>
      <c r="F10" s="5">
        <f t="shared" si="1"/>
        <v>0</v>
      </c>
      <c r="G10" s="7"/>
      <c r="H10" s="5"/>
      <c r="J10" t="s">
        <v>24</v>
      </c>
      <c r="K10">
        <v>0</v>
      </c>
      <c r="L10">
        <f t="shared" si="6"/>
        <v>0</v>
      </c>
      <c r="M10" s="5">
        <f>((L10/L$19)*100)^2</f>
        <v>0</v>
      </c>
      <c r="N10" s="2">
        <v>68</v>
      </c>
      <c r="O10" s="6">
        <f>((N10/N$19)*100)^2</f>
        <v>181.13617016379962</v>
      </c>
      <c r="R10" s="5"/>
      <c r="S10" s="5"/>
      <c r="T10" s="5"/>
      <c r="U10" s="6"/>
      <c r="V10" s="6"/>
    </row>
    <row r="11" spans="1:22">
      <c r="A11" t="s">
        <v>13</v>
      </c>
      <c r="B11" s="42">
        <v>150.47999999999999</v>
      </c>
      <c r="C11" s="5">
        <f t="shared" si="2"/>
        <v>150.47999999999999</v>
      </c>
      <c r="D11" s="5">
        <f t="shared" si="0"/>
        <v>458.6688459984166</v>
      </c>
      <c r="E11" s="5">
        <f t="shared" si="3"/>
        <v>150.47999999999999</v>
      </c>
      <c r="F11" s="5">
        <f t="shared" si="1"/>
        <v>423.02867405905653</v>
      </c>
      <c r="G11" s="7"/>
      <c r="H11" s="5"/>
      <c r="J11" t="s">
        <v>33</v>
      </c>
      <c r="K11">
        <v>0</v>
      </c>
      <c r="L11">
        <f>K11</f>
        <v>0</v>
      </c>
      <c r="M11" s="5">
        <f>((L11/L$19)*100)^2</f>
        <v>0</v>
      </c>
      <c r="N11">
        <f>L11</f>
        <v>0</v>
      </c>
      <c r="O11" s="5">
        <f>((N11/N$19)*100)^2</f>
        <v>0</v>
      </c>
      <c r="R11" s="5"/>
      <c r="S11" s="5"/>
      <c r="T11" s="5"/>
      <c r="U11" s="5"/>
      <c r="V11" s="5"/>
    </row>
    <row r="12" spans="1:22">
      <c r="A12" t="s">
        <v>14</v>
      </c>
      <c r="B12" s="5">
        <v>0</v>
      </c>
      <c r="C12" s="5">
        <f t="shared" si="2"/>
        <v>0</v>
      </c>
      <c r="D12" s="5">
        <f t="shared" si="0"/>
        <v>0</v>
      </c>
      <c r="E12" s="6">
        <v>29</v>
      </c>
      <c r="F12" s="6">
        <f t="shared" si="1"/>
        <v>15.711159469728177</v>
      </c>
      <c r="G12" s="7"/>
      <c r="H12" s="6"/>
      <c r="M12" s="5">
        <f t="shared" ref="M12:O12" si="7">((L12/L$19)*100)^2</f>
        <v>0</v>
      </c>
      <c r="O12" s="5">
        <f t="shared" si="7"/>
        <v>0</v>
      </c>
      <c r="R12" s="5"/>
      <c r="S12" s="5"/>
      <c r="T12" s="5"/>
      <c r="U12" s="5"/>
      <c r="V12" s="5"/>
    </row>
    <row r="13" spans="1:22">
      <c r="A13" t="s">
        <v>15</v>
      </c>
      <c r="B13" s="5">
        <v>99.723287671232882</v>
      </c>
      <c r="C13" s="5"/>
      <c r="D13" s="5">
        <f t="shared" si="0"/>
        <v>0</v>
      </c>
      <c r="E13" s="5">
        <f>C13</f>
        <v>0</v>
      </c>
      <c r="F13" s="5">
        <f t="shared" si="1"/>
        <v>0</v>
      </c>
      <c r="G13" s="7"/>
      <c r="H13" s="5"/>
      <c r="M13" s="5">
        <f t="shared" ref="M13:O13" si="8">((L13/L$19)*100)^2</f>
        <v>0</v>
      </c>
      <c r="O13" s="5">
        <f t="shared" si="8"/>
        <v>0</v>
      </c>
      <c r="R13" s="5"/>
      <c r="S13" s="5"/>
      <c r="T13" s="5"/>
      <c r="U13" s="5"/>
      <c r="V13" s="5"/>
    </row>
    <row r="14" spans="1:22">
      <c r="A14" t="s">
        <v>16</v>
      </c>
      <c r="B14" s="5">
        <v>165.46600000000001</v>
      </c>
      <c r="C14" s="5">
        <f t="shared" si="2"/>
        <v>165.46600000000001</v>
      </c>
      <c r="D14" s="5">
        <f t="shared" si="0"/>
        <v>554.57362905724756</v>
      </c>
      <c r="E14" s="5">
        <f t="shared" ref="E14:E17" si="9">C14</f>
        <v>165.46600000000001</v>
      </c>
      <c r="F14" s="5">
        <f t="shared" si="1"/>
        <v>511.48132037948886</v>
      </c>
      <c r="G14" s="7"/>
      <c r="H14" s="5"/>
      <c r="M14" s="5">
        <f t="shared" ref="M14:O14" si="10">((L14/L$19)*100)^2</f>
        <v>0</v>
      </c>
      <c r="O14" s="5">
        <f t="shared" si="10"/>
        <v>0</v>
      </c>
      <c r="R14" s="5"/>
      <c r="S14" s="5"/>
      <c r="T14" s="5"/>
      <c r="U14" s="5"/>
      <c r="V14" s="5"/>
    </row>
    <row r="15" spans="1:22">
      <c r="A15" t="s">
        <v>17</v>
      </c>
      <c r="B15" s="5">
        <v>0</v>
      </c>
      <c r="C15" s="5">
        <f t="shared" si="2"/>
        <v>0</v>
      </c>
      <c r="D15" s="5">
        <f t="shared" si="0"/>
        <v>0</v>
      </c>
      <c r="E15" s="5">
        <f t="shared" si="9"/>
        <v>0</v>
      </c>
      <c r="F15" s="5">
        <f t="shared" si="1"/>
        <v>0</v>
      </c>
      <c r="G15" s="7"/>
      <c r="H15" s="5"/>
      <c r="M15" s="5">
        <f t="shared" ref="M15:O15" si="11">((L15/L$19)*100)^2</f>
        <v>0</v>
      </c>
      <c r="O15" s="5">
        <f t="shared" si="11"/>
        <v>0</v>
      </c>
      <c r="R15" s="5"/>
      <c r="S15" s="5"/>
      <c r="T15" s="5"/>
      <c r="U15" s="5"/>
      <c r="V15" s="5"/>
    </row>
    <row r="16" spans="1:22">
      <c r="A16" t="s">
        <v>18</v>
      </c>
      <c r="B16" s="5">
        <v>684.2</v>
      </c>
      <c r="C16" s="5"/>
      <c r="D16" s="5">
        <f t="shared" si="0"/>
        <v>0</v>
      </c>
      <c r="E16" s="5">
        <f t="shared" si="9"/>
        <v>0</v>
      </c>
      <c r="F16" s="5">
        <f t="shared" si="1"/>
        <v>0</v>
      </c>
      <c r="G16" s="7"/>
      <c r="H16" s="5"/>
      <c r="M16" s="5">
        <f t="shared" ref="M16:O16" si="12">((L16/L$19)*100)^2</f>
        <v>0</v>
      </c>
      <c r="O16" s="5">
        <f t="shared" si="12"/>
        <v>0</v>
      </c>
      <c r="R16" s="5"/>
      <c r="S16" s="5"/>
      <c r="T16" s="5"/>
      <c r="U16" s="5"/>
      <c r="V16" s="5"/>
    </row>
    <row r="17" spans="1:22">
      <c r="A17" t="s">
        <v>19</v>
      </c>
      <c r="B17" s="5">
        <v>135.47999999999999</v>
      </c>
      <c r="C17" s="5">
        <f t="shared" si="2"/>
        <v>135.47999999999999</v>
      </c>
      <c r="D17" s="5">
        <f t="shared" si="0"/>
        <v>371.78516246083831</v>
      </c>
      <c r="E17" s="5">
        <f t="shared" si="9"/>
        <v>135.47999999999999</v>
      </c>
      <c r="F17" s="5">
        <f t="shared" si="1"/>
        <v>342.89615630703275</v>
      </c>
      <c r="G17" s="7"/>
      <c r="H17" s="5"/>
      <c r="M17" s="5">
        <f t="shared" ref="M17:O17" si="13">((L17/L$19)*100)^2</f>
        <v>0</v>
      </c>
      <c r="O17" s="5">
        <f t="shared" si="13"/>
        <v>0</v>
      </c>
      <c r="R17" s="5"/>
      <c r="S17" s="5"/>
      <c r="T17" s="5"/>
      <c r="U17" s="5"/>
      <c r="V17" s="5"/>
    </row>
    <row r="18" spans="1:22">
      <c r="B18" s="5"/>
      <c r="C18" s="5"/>
      <c r="D18" s="5"/>
      <c r="E18" s="5"/>
      <c r="F18" s="5"/>
      <c r="H18" s="5"/>
      <c r="M18" s="5"/>
      <c r="O18" s="5"/>
      <c r="R18" s="5"/>
      <c r="S18" s="5"/>
      <c r="T18" s="5"/>
      <c r="U18" s="5"/>
      <c r="V18" s="5"/>
    </row>
    <row r="19" spans="1:22">
      <c r="B19" s="5"/>
      <c r="C19" s="5">
        <f>SUM(C7:C18)</f>
        <v>702.63400000000001</v>
      </c>
      <c r="D19" s="35">
        <f>SUM(D7:D18)</f>
        <v>2065.5939827126181</v>
      </c>
      <c r="E19" s="5">
        <f>SUM(E7:E18)</f>
        <v>731.63400000000001</v>
      </c>
      <c r="F19" s="35">
        <f>SUM(F7:F18)</f>
        <v>1920.801272466636</v>
      </c>
      <c r="G19" s="7"/>
      <c r="H19" s="5"/>
      <c r="L19">
        <f>SUM(L7:L18)</f>
        <v>437.25</v>
      </c>
      <c r="M19" s="42">
        <f>SUM(M7:M18)</f>
        <v>5800.7467143685144</v>
      </c>
      <c r="N19" s="5">
        <f>SUM(N7:N18)</f>
        <v>505.25</v>
      </c>
      <c r="O19" s="42">
        <f>SUM(O7:O18)</f>
        <v>4525.5470699662446</v>
      </c>
      <c r="R19" s="5"/>
      <c r="S19" s="5"/>
      <c r="T19" s="5"/>
      <c r="U19" s="5"/>
      <c r="V19" s="5"/>
    </row>
    <row r="21" spans="1:22">
      <c r="C21" t="s">
        <v>25</v>
      </c>
      <c r="D21" t="s">
        <v>21</v>
      </c>
      <c r="E21" t="s">
        <v>26</v>
      </c>
      <c r="F21" t="s">
        <v>21</v>
      </c>
      <c r="L21" t="s">
        <v>25</v>
      </c>
      <c r="M21" t="s">
        <v>21</v>
      </c>
      <c r="N21" t="s">
        <v>26</v>
      </c>
      <c r="O21" t="s">
        <v>21</v>
      </c>
    </row>
    <row r="22" spans="1:22">
      <c r="A22" t="s">
        <v>9</v>
      </c>
      <c r="B22" s="5">
        <v>174.47499999999999</v>
      </c>
      <c r="C22" s="5">
        <f>B22</f>
        <v>174.47499999999999</v>
      </c>
      <c r="D22" s="5">
        <f t="shared" ref="D22:D32" si="14">((C22/C$34)*100)^2</f>
        <v>119.0496721401684</v>
      </c>
      <c r="E22" s="5">
        <f>C22</f>
        <v>174.47499999999999</v>
      </c>
      <c r="F22" s="5">
        <f t="shared" ref="F22:F32" si="15">((E22/E$34)*100)^2</f>
        <v>123.48808728126251</v>
      </c>
      <c r="G22" s="5"/>
      <c r="H22" s="5"/>
      <c r="J22" t="s">
        <v>9</v>
      </c>
      <c r="K22">
        <v>323</v>
      </c>
      <c r="L22">
        <f>K22</f>
        <v>323</v>
      </c>
      <c r="M22" s="5">
        <f>((L22/L$34)*100)^2</f>
        <v>3240.0360618569584</v>
      </c>
      <c r="N22">
        <f>L22</f>
        <v>323</v>
      </c>
      <c r="O22" s="5">
        <f>((N22/N$34)*100)^2</f>
        <v>4182.3561228192939</v>
      </c>
      <c r="R22" s="5"/>
      <c r="S22" s="5"/>
      <c r="T22" s="5"/>
      <c r="U22" s="5"/>
      <c r="V22" s="5"/>
    </row>
    <row r="23" spans="1:22">
      <c r="A23" t="s">
        <v>10</v>
      </c>
      <c r="B23" s="5">
        <v>223.93</v>
      </c>
      <c r="C23" s="5">
        <f t="shared" ref="C23:C32" si="16">B23</f>
        <v>223.93</v>
      </c>
      <c r="D23" s="5">
        <f t="shared" si="14"/>
        <v>196.10395380537597</v>
      </c>
      <c r="E23" s="5">
        <f t="shared" ref="E23:E32" si="17">C23</f>
        <v>223.93</v>
      </c>
      <c r="F23" s="5">
        <f t="shared" si="15"/>
        <v>203.41511008284482</v>
      </c>
      <c r="G23" s="6"/>
      <c r="H23" s="6"/>
      <c r="J23" t="s">
        <v>31</v>
      </c>
      <c r="K23">
        <v>52.25</v>
      </c>
      <c r="L23">
        <f t="shared" ref="L23:L25" si="18">K23</f>
        <v>52.25</v>
      </c>
      <c r="M23" s="5">
        <f>((L23/L$34)*100)^2</f>
        <v>84.7846806844057</v>
      </c>
      <c r="N23">
        <f t="shared" ref="N23:N24" si="19">L23</f>
        <v>52.25</v>
      </c>
      <c r="O23" s="5">
        <f>((N23/N$34)*100)^2</f>
        <v>109.4431424872696</v>
      </c>
      <c r="R23" s="5"/>
      <c r="S23" s="5"/>
      <c r="T23" s="5"/>
      <c r="U23" s="5"/>
      <c r="V23" s="5"/>
    </row>
    <row r="24" spans="1:22">
      <c r="A24" t="s">
        <v>11</v>
      </c>
      <c r="B24" s="5">
        <v>48.704999999999998</v>
      </c>
      <c r="C24" s="5">
        <f t="shared" si="16"/>
        <v>48.704999999999998</v>
      </c>
      <c r="D24" s="5">
        <f t="shared" si="14"/>
        <v>9.2770283777355882</v>
      </c>
      <c r="E24" s="5">
        <f t="shared" si="17"/>
        <v>48.704999999999998</v>
      </c>
      <c r="F24" s="5">
        <f t="shared" si="15"/>
        <v>9.622894959943574</v>
      </c>
      <c r="G24" s="5"/>
      <c r="H24" s="5"/>
      <c r="J24" t="s">
        <v>32</v>
      </c>
      <c r="K24">
        <v>124.2</v>
      </c>
      <c r="L24">
        <f t="shared" si="18"/>
        <v>124.2</v>
      </c>
      <c r="M24" s="5">
        <f>((L24/L$34)*100)^2</f>
        <v>479.05788301644969</v>
      </c>
      <c r="N24">
        <f t="shared" si="19"/>
        <v>124.2</v>
      </c>
      <c r="O24" s="5">
        <f>((N24/N$34)*100)^2</f>
        <v>618.38529941249521</v>
      </c>
      <c r="R24" s="5"/>
      <c r="S24" s="5"/>
      <c r="T24" s="5"/>
      <c r="U24" s="5"/>
      <c r="V24" s="5"/>
    </row>
    <row r="25" spans="1:22">
      <c r="A25" t="s">
        <v>12</v>
      </c>
      <c r="B25" s="5">
        <v>90.4</v>
      </c>
      <c r="C25" s="5">
        <f t="shared" si="16"/>
        <v>90.4</v>
      </c>
      <c r="D25" s="5">
        <f t="shared" si="14"/>
        <v>31.959402451170636</v>
      </c>
      <c r="E25" s="5">
        <f t="shared" si="17"/>
        <v>90.4</v>
      </c>
      <c r="F25" s="5">
        <f t="shared" si="15"/>
        <v>33.150914306596704</v>
      </c>
      <c r="G25" s="5"/>
      <c r="H25" s="5"/>
      <c r="J25" t="s">
        <v>24</v>
      </c>
      <c r="K25">
        <v>68</v>
      </c>
      <c r="L25">
        <f t="shared" si="18"/>
        <v>68</v>
      </c>
      <c r="M25" s="5">
        <f>((L25/L$34)*100)^2</f>
        <v>143.60270634269065</v>
      </c>
      <c r="N25" s="2"/>
      <c r="O25" s="6">
        <f>((N25/N$34)*100)^2</f>
        <v>0</v>
      </c>
      <c r="R25" s="5"/>
      <c r="S25" s="5"/>
      <c r="T25" s="5"/>
      <c r="U25" s="6"/>
      <c r="V25" s="6"/>
    </row>
    <row r="26" spans="1:22">
      <c r="A26" t="s">
        <v>13</v>
      </c>
      <c r="B26" s="42">
        <v>225.72</v>
      </c>
      <c r="C26" s="5">
        <f t="shared" si="16"/>
        <v>225.72</v>
      </c>
      <c r="D26" s="5">
        <f t="shared" si="14"/>
        <v>199.25162542570422</v>
      </c>
      <c r="E26" s="5">
        <f t="shared" si="17"/>
        <v>225.72</v>
      </c>
      <c r="F26" s="5">
        <f t="shared" si="15"/>
        <v>206.68013333571196</v>
      </c>
      <c r="G26" s="5"/>
      <c r="H26" s="5"/>
      <c r="J26" t="s">
        <v>33</v>
      </c>
      <c r="K26">
        <v>110</v>
      </c>
      <c r="M26" s="5">
        <f>((L26/L$19)*100)^2</f>
        <v>0</v>
      </c>
      <c r="N26">
        <f>L26</f>
        <v>0</v>
      </c>
      <c r="O26" s="5">
        <f>((N26/N$19)*100)^2</f>
        <v>0</v>
      </c>
      <c r="R26" s="5"/>
      <c r="S26" s="5"/>
      <c r="T26" s="5"/>
      <c r="U26" s="5"/>
      <c r="V26" s="5"/>
    </row>
    <row r="27" spans="1:22">
      <c r="A27" t="s">
        <v>14</v>
      </c>
      <c r="B27" s="5">
        <v>29</v>
      </c>
      <c r="C27" s="5">
        <f t="shared" si="16"/>
        <v>29</v>
      </c>
      <c r="D27" s="5">
        <f t="shared" si="14"/>
        <v>3.2889538948618857</v>
      </c>
      <c r="E27" s="6"/>
      <c r="F27" s="6">
        <f t="shared" si="15"/>
        <v>0</v>
      </c>
      <c r="G27" s="5"/>
      <c r="H27" s="11"/>
      <c r="M27" s="5">
        <f t="shared" ref="M27:O27" si="20">((L27/L$19)*100)^2</f>
        <v>0</v>
      </c>
      <c r="O27" s="5">
        <f t="shared" si="20"/>
        <v>0</v>
      </c>
      <c r="R27" s="5"/>
      <c r="S27" s="5"/>
      <c r="T27" s="5"/>
      <c r="U27" s="5"/>
      <c r="V27" s="5"/>
    </row>
    <row r="28" spans="1:22">
      <c r="A28" t="s">
        <v>15</v>
      </c>
      <c r="B28" s="5">
        <v>99.723287671232882</v>
      </c>
      <c r="C28" s="5"/>
      <c r="D28" s="5">
        <f t="shared" si="14"/>
        <v>0</v>
      </c>
      <c r="E28" s="5">
        <f t="shared" si="17"/>
        <v>0</v>
      </c>
      <c r="F28" s="5">
        <f t="shared" si="15"/>
        <v>0</v>
      </c>
      <c r="G28" s="5"/>
      <c r="H28" s="5"/>
      <c r="M28" s="5">
        <f t="shared" ref="M28:O28" si="21">((L28/L$19)*100)^2</f>
        <v>0</v>
      </c>
      <c r="O28" s="5">
        <f t="shared" si="21"/>
        <v>0</v>
      </c>
      <c r="R28" s="5"/>
      <c r="S28" s="5"/>
      <c r="T28" s="5"/>
      <c r="U28" s="5"/>
      <c r="V28" s="5"/>
    </row>
    <row r="29" spans="1:22">
      <c r="A29" t="s">
        <v>16</v>
      </c>
      <c r="B29" s="5">
        <v>385.06600000000003</v>
      </c>
      <c r="C29" s="5">
        <f t="shared" si="16"/>
        <v>385.06600000000003</v>
      </c>
      <c r="D29" s="5">
        <f t="shared" si="14"/>
        <v>579.87199765698347</v>
      </c>
      <c r="E29" s="5">
        <f t="shared" si="17"/>
        <v>385.06600000000003</v>
      </c>
      <c r="F29" s="5">
        <f t="shared" si="15"/>
        <v>601.49081111551175</v>
      </c>
      <c r="G29" s="5"/>
      <c r="H29" s="5"/>
      <c r="M29" s="5">
        <f t="shared" ref="M29:O29" si="22">((L29/L$19)*100)^2</f>
        <v>0</v>
      </c>
      <c r="O29" s="5">
        <f t="shared" si="22"/>
        <v>0</v>
      </c>
      <c r="R29" s="5"/>
      <c r="S29" s="5"/>
      <c r="T29" s="5"/>
      <c r="U29" s="5"/>
      <c r="V29" s="5"/>
    </row>
    <row r="30" spans="1:22">
      <c r="A30" t="s">
        <v>17</v>
      </c>
      <c r="B30" s="5">
        <v>286.29999999999995</v>
      </c>
      <c r="C30" s="5">
        <f t="shared" si="16"/>
        <v>286.29999999999995</v>
      </c>
      <c r="D30" s="5">
        <f t="shared" si="14"/>
        <v>320.55642482560233</v>
      </c>
      <c r="E30" s="5">
        <f t="shared" si="17"/>
        <v>286.29999999999995</v>
      </c>
      <c r="F30" s="5">
        <f t="shared" si="15"/>
        <v>332.50742363092274</v>
      </c>
      <c r="G30" s="5"/>
      <c r="H30" s="5"/>
      <c r="M30" s="5">
        <f t="shared" ref="M30:O30" si="23">((L30/L$19)*100)^2</f>
        <v>0</v>
      </c>
      <c r="O30" s="5">
        <f t="shared" si="23"/>
        <v>0</v>
      </c>
      <c r="R30" s="5"/>
      <c r="S30" s="5"/>
      <c r="T30" s="5"/>
      <c r="U30" s="5"/>
      <c r="V30" s="5"/>
    </row>
    <row r="31" spans="1:22">
      <c r="A31" t="s">
        <v>18</v>
      </c>
      <c r="B31" s="5">
        <v>805.2</v>
      </c>
      <c r="C31" s="5"/>
      <c r="D31" s="5">
        <f t="shared" si="14"/>
        <v>0</v>
      </c>
      <c r="E31" s="5">
        <f t="shared" si="17"/>
        <v>0</v>
      </c>
      <c r="F31" s="5">
        <f t="shared" si="15"/>
        <v>0</v>
      </c>
      <c r="G31" s="5"/>
      <c r="H31" s="5"/>
      <c r="M31" s="5">
        <f t="shared" ref="M31:O31" si="24">((L31/L$19)*100)^2</f>
        <v>0</v>
      </c>
      <c r="O31" s="5">
        <f t="shared" si="24"/>
        <v>0</v>
      </c>
      <c r="R31" s="5"/>
      <c r="S31" s="5"/>
      <c r="T31" s="5"/>
      <c r="U31" s="5"/>
      <c r="V31" s="5"/>
    </row>
    <row r="32" spans="1:22">
      <c r="A32" t="s">
        <v>19</v>
      </c>
      <c r="B32" s="5">
        <v>135.47999999999999</v>
      </c>
      <c r="C32" s="5">
        <f t="shared" si="16"/>
        <v>135.47999999999999</v>
      </c>
      <c r="D32" s="5">
        <f t="shared" si="14"/>
        <v>71.781439873495046</v>
      </c>
      <c r="E32" s="5">
        <f t="shared" si="17"/>
        <v>135.47999999999999</v>
      </c>
      <c r="F32" s="5">
        <f t="shared" si="15"/>
        <v>74.457598689026625</v>
      </c>
      <c r="G32" s="5"/>
      <c r="H32" s="5"/>
      <c r="M32" s="5">
        <f t="shared" ref="M32:O32" si="25">((L32/L$19)*100)^2</f>
        <v>0</v>
      </c>
      <c r="O32" s="5">
        <f t="shared" si="25"/>
        <v>0</v>
      </c>
      <c r="R32" s="5"/>
      <c r="S32" s="5"/>
      <c r="T32" s="5"/>
      <c r="U32" s="5"/>
      <c r="V32" s="5"/>
    </row>
    <row r="33" spans="1:23">
      <c r="B33" s="5"/>
      <c r="C33" s="5"/>
      <c r="D33" s="5"/>
      <c r="E33" s="5"/>
      <c r="F33" s="5"/>
      <c r="G33" s="5"/>
      <c r="H33" s="5"/>
      <c r="M33" s="5"/>
      <c r="O33" s="5"/>
      <c r="R33" s="5"/>
      <c r="S33" s="5"/>
      <c r="T33" s="5"/>
      <c r="U33" s="5"/>
      <c r="V33" s="5"/>
    </row>
    <row r="34" spans="1:23">
      <c r="B34" s="5"/>
      <c r="C34" s="5">
        <f>SUM(C22:C33)</f>
        <v>1599.076</v>
      </c>
      <c r="D34" s="5">
        <f>SUM(D22:D33)</f>
        <v>1531.1404984510973</v>
      </c>
      <c r="E34" s="5">
        <f>SUM(E22:E33)</f>
        <v>1570.076</v>
      </c>
      <c r="F34" s="5">
        <f>SUM(F22:F33)</f>
        <v>1584.8129734018205</v>
      </c>
      <c r="G34" s="5"/>
      <c r="H34" s="5"/>
      <c r="L34">
        <f>SUM(L22:L33)</f>
        <v>567.45000000000005</v>
      </c>
      <c r="M34" s="5">
        <f>SUM(M22:M33)</f>
        <v>3947.4813319005043</v>
      </c>
      <c r="N34" s="5">
        <f t="shared" ref="N34:O34" si="26">SUM(N22:N33)</f>
        <v>499.45</v>
      </c>
      <c r="O34" s="5">
        <f t="shared" si="26"/>
        <v>4910.1845647190585</v>
      </c>
      <c r="R34" s="5"/>
      <c r="S34" s="5"/>
      <c r="T34" s="5"/>
      <c r="U34" s="5"/>
      <c r="V34" s="5"/>
      <c r="W34" s="5"/>
    </row>
    <row r="37" spans="1:23" ht="15.6">
      <c r="A37" s="10" t="s">
        <v>37</v>
      </c>
    </row>
    <row r="39" spans="1:23">
      <c r="A39" t="s">
        <v>1</v>
      </c>
      <c r="B39" t="s">
        <v>38</v>
      </c>
      <c r="C39" s="4">
        <f>MIN(1,E12/N10)</f>
        <v>0.4264705882352941</v>
      </c>
      <c r="G39" s="4"/>
    </row>
    <row r="40" spans="1:23">
      <c r="G40" s="4"/>
    </row>
    <row r="42" spans="1:23" ht="15.6">
      <c r="A42" s="10" t="s">
        <v>0</v>
      </c>
    </row>
    <row r="43" spans="1:23">
      <c r="B43" t="s">
        <v>34</v>
      </c>
      <c r="E43" t="s">
        <v>35</v>
      </c>
    </row>
    <row r="44" spans="1:23">
      <c r="A44" t="s">
        <v>42</v>
      </c>
      <c r="B44" s="42">
        <v>1306.9000000000001</v>
      </c>
      <c r="E44">
        <v>187</v>
      </c>
    </row>
    <row r="45" spans="1:23">
      <c r="A45" t="s">
        <v>81</v>
      </c>
      <c r="B45" s="42">
        <f>684-367</f>
        <v>317</v>
      </c>
      <c r="C45" t="s">
        <v>80</v>
      </c>
      <c r="E45">
        <v>323</v>
      </c>
      <c r="F45" t="s">
        <v>79</v>
      </c>
    </row>
    <row r="47" spans="1:23">
      <c r="A47" t="s">
        <v>34</v>
      </c>
      <c r="E47" t="s">
        <v>1</v>
      </c>
      <c r="J47" t="s">
        <v>35</v>
      </c>
      <c r="N47" t="s">
        <v>1</v>
      </c>
    </row>
    <row r="48" spans="1:23">
      <c r="A48" t="s">
        <v>22</v>
      </c>
      <c r="B48" s="36">
        <f>(B8+B9+B11+B13+B16+B17+B7+B14-B45)/B44</f>
        <v>0.89490954753327157</v>
      </c>
      <c r="C48" s="41" t="s">
        <v>75</v>
      </c>
      <c r="E48" s="36">
        <f>(B8+B9+B11+E12+B13+B16+B17+B7+B14-B45)/B44</f>
        <v>0.91709946259945874</v>
      </c>
      <c r="F48" s="4"/>
      <c r="J48" t="s">
        <v>22</v>
      </c>
      <c r="K48" s="36">
        <f>(K9+K8+K7-E45)/E44</f>
        <v>0.61096256684491979</v>
      </c>
      <c r="L48" s="15" t="s">
        <v>43</v>
      </c>
      <c r="N48" s="36">
        <f>(K9+N10+K8+K7-E45)/E44</f>
        <v>0.97459893048128343</v>
      </c>
      <c r="R48" s="4"/>
      <c r="S48" s="15"/>
      <c r="U48" s="4"/>
      <c r="V48" s="13"/>
    </row>
    <row r="49" spans="1:22">
      <c r="A49" t="s">
        <v>25</v>
      </c>
      <c r="B49" s="36">
        <f>(B23+B24+B25+B27+B28+B30+B31+B32+B26+B29+B22-B45)/B44</f>
        <v>1.6734251187322922</v>
      </c>
      <c r="C49" s="41" t="s">
        <v>75</v>
      </c>
      <c r="E49" s="36">
        <f>(B23+B24+B25+B28+B26+B30+B31+B32+B29+B22-B45)/B44</f>
        <v>1.6512352036661049</v>
      </c>
      <c r="F49" s="4"/>
      <c r="J49" t="s">
        <v>25</v>
      </c>
      <c r="K49" s="36">
        <f>(K23+K24+K25+K26+K22-E45)/E44</f>
        <v>1.8954545454545457</v>
      </c>
      <c r="L49" s="15" t="s">
        <v>43</v>
      </c>
      <c r="N49" s="36">
        <f>(K23+K24+K26+K22-E45)/E44</f>
        <v>1.531818181818182</v>
      </c>
      <c r="R49" s="4"/>
      <c r="S49" s="15"/>
      <c r="U49" s="4"/>
      <c r="V49" s="13"/>
    </row>
    <row r="52" spans="1:22" ht="15.6">
      <c r="A52" s="10" t="s">
        <v>44</v>
      </c>
    </row>
    <row r="54" spans="1:22">
      <c r="A54" t="s">
        <v>47</v>
      </c>
      <c r="B54" t="s">
        <v>34</v>
      </c>
      <c r="C54" t="s">
        <v>35</v>
      </c>
    </row>
    <row r="55" spans="1:22">
      <c r="A55" t="s">
        <v>76</v>
      </c>
      <c r="B55">
        <f>333+146</f>
        <v>479</v>
      </c>
      <c r="C55">
        <f>27+26</f>
        <v>53</v>
      </c>
    </row>
    <row r="56" spans="1:22">
      <c r="A56" t="s">
        <v>77</v>
      </c>
      <c r="B56">
        <f>658+146</f>
        <v>804</v>
      </c>
      <c r="C56">
        <f>73+35</f>
        <v>108</v>
      </c>
    </row>
    <row r="57" spans="1:22">
      <c r="A57" t="s">
        <v>54</v>
      </c>
      <c r="B57">
        <v>110</v>
      </c>
      <c r="C57">
        <v>0</v>
      </c>
    </row>
    <row r="58" spans="1:22">
      <c r="A58" t="s">
        <v>55</v>
      </c>
      <c r="B58">
        <v>110</v>
      </c>
      <c r="C58">
        <v>31</v>
      </c>
    </row>
    <row r="60" spans="1:22">
      <c r="A60" t="s">
        <v>48</v>
      </c>
      <c r="B60">
        <v>4</v>
      </c>
      <c r="C60">
        <f>62+109</f>
        <v>171</v>
      </c>
    </row>
    <row r="61" spans="1:22">
      <c r="A61" t="s">
        <v>49</v>
      </c>
      <c r="B61">
        <f>151+4+90+68+142</f>
        <v>455</v>
      </c>
      <c r="C61">
        <f>124+29+109</f>
        <v>262</v>
      </c>
    </row>
    <row r="62" spans="1:22">
      <c r="E62" s="4"/>
    </row>
    <row r="63" spans="1:22">
      <c r="A63" t="s">
        <v>50</v>
      </c>
      <c r="B63">
        <v>5</v>
      </c>
      <c r="C63">
        <v>2</v>
      </c>
    </row>
    <row r="64" spans="1:22">
      <c r="A64" t="s">
        <v>51</v>
      </c>
      <c r="B64">
        <v>8</v>
      </c>
      <c r="C64">
        <v>3</v>
      </c>
    </row>
    <row r="67" spans="1:10">
      <c r="A67" t="s">
        <v>45</v>
      </c>
      <c r="B67" t="s">
        <v>34</v>
      </c>
      <c r="C67" t="s">
        <v>52</v>
      </c>
      <c r="F67" t="s">
        <v>35</v>
      </c>
      <c r="G67" t="s">
        <v>53</v>
      </c>
    </row>
    <row r="68" spans="1:10">
      <c r="A68" t="s">
        <v>22</v>
      </c>
      <c r="B68" s="9">
        <f>MIN(B60,B13+(B63-1)/B63*(B7+B8+B9+B14+B17)+B11-B57-B55)/B55</f>
        <v>8.350730688935281E-3</v>
      </c>
      <c r="C68" s="9">
        <f>MIN(B60+N10,B13+(B63+1-1)/(B63+1)*(B7+B8+B9+B14+B17+E12)+B11-B57-B55)/B55</f>
        <v>0.15031315240083507</v>
      </c>
      <c r="D68" s="4"/>
      <c r="F68" s="4">
        <f>MIN(C60,(C63-1)/C63*(L7+L9)+L8-C55)/C55</f>
        <v>3.2264150943396226</v>
      </c>
      <c r="G68" s="4">
        <f>MIN(C60+E12,(C63+1-1)/(C63+1)*(L7+L9+N10)+L8-C55)/C55</f>
        <v>3.7735849056603774</v>
      </c>
      <c r="I68" s="4"/>
      <c r="J68" s="4"/>
    </row>
    <row r="69" spans="1:10">
      <c r="A69" t="s">
        <v>25</v>
      </c>
      <c r="B69" s="9">
        <f>MIN(B61,B28+(B64-1)/B64*(B22+B23+B24+B25+B27+B29+B30+B32)+B26-B58-B55)/B55</f>
        <v>0.94989561586638827</v>
      </c>
      <c r="C69" s="9">
        <f>MIN(B61-N10,B28+(B64-1-1)/(B64-1)*(B22+B23+B24+B25+B29+B30+B32)+B26-B58-B55)/B55</f>
        <v>0.8079331941544885</v>
      </c>
      <c r="D69" s="4"/>
      <c r="F69" s="4">
        <f>MIN(C61,(C64-1)/C64*(L22+L24+L25)+L23-C55-C58)/C55</f>
        <v>4.9433962264150946</v>
      </c>
      <c r="G69" s="4">
        <f>MIN(C61-E12,(C64-1-1)/(C64-1)*(L22+L24)+L23-C55-C58)/C55</f>
        <v>3.6198113207547173</v>
      </c>
      <c r="I69" s="4"/>
      <c r="J69" s="4"/>
    </row>
    <row r="71" spans="1:10">
      <c r="A71" t="s">
        <v>46</v>
      </c>
      <c r="B71" t="s">
        <v>34</v>
      </c>
      <c r="C71" t="s">
        <v>52</v>
      </c>
      <c r="F71" t="s">
        <v>35</v>
      </c>
      <c r="G71" t="s">
        <v>53</v>
      </c>
    </row>
    <row r="72" spans="1:10">
      <c r="A72" t="s">
        <v>22</v>
      </c>
      <c r="B72" s="9">
        <f>MIN(B60,B13+(B63-1)/B63*(B7+B8+B9+B14+B17)+B11+B57-B56)/B56</f>
        <v>-2.578995433789848E-3</v>
      </c>
      <c r="C72" s="9">
        <f>MIN(B60+N10,B13+(B63+1-1)/(B63+1)*(B7+B8+B9+B14+B17+E12)+B11+B57-B56)/B56</f>
        <v>5.0371004566210076E-2</v>
      </c>
      <c r="D72" s="4"/>
      <c r="F72" s="4">
        <f>MIN(C60,(C63-1)/C63*(L7+L9)+L8-C56)/C56</f>
        <v>1.2662037037037037</v>
      </c>
      <c r="G72" s="4">
        <f>MIN(C60+E12,(C63+1-1)/(C63+1)*(L7+L9+N10)+L8-C56)/C56</f>
        <v>1.8518518518518519</v>
      </c>
      <c r="I72" s="4"/>
      <c r="J72" s="4"/>
    </row>
    <row r="73" spans="1:10">
      <c r="A73" t="s">
        <v>25</v>
      </c>
      <c r="B73" s="9">
        <f>MIN(B61,B28+(B64-1)/B64*(B22+B23+B24+B25+B27+B29+B30+B32)+B26+B58-B56)/B56</f>
        <v>0.5659203980099502</v>
      </c>
      <c r="C73" s="9">
        <f>MIN(B61-N10,B28+(B64-1-1)/(B64-1)*(B22+B23+B24+B25+B29+B30+B32)+B26+B57-B56)/B56</f>
        <v>0.48134328358208955</v>
      </c>
      <c r="D73" s="4"/>
      <c r="F73" s="4">
        <f>MIN(C61,(C64-1)/C64*(L22+L24+L25)+L23-C56+C58)/C56</f>
        <v>2.425925925925926</v>
      </c>
      <c r="G73" s="4">
        <f>MIN(C61-E12,(C64-1-1)/(C64-1)*(L22+L24)+L23-C56+C58)/C56</f>
        <v>1.8412037037037039</v>
      </c>
      <c r="I73" s="4"/>
      <c r="J73" s="4"/>
    </row>
  </sheetData>
  <mergeCells count="1">
    <mergeCell ref="B5:C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tabSelected="1" zoomScale="80" zoomScaleNormal="80" workbookViewId="0">
      <selection activeCell="J33" sqref="J33"/>
    </sheetView>
  </sheetViews>
  <sheetFormatPr defaultRowHeight="15"/>
  <cols>
    <col min="1" max="1" width="24.81640625" customWidth="1"/>
    <col min="2" max="2" width="8" customWidth="1"/>
    <col min="3" max="3" width="9.453125" bestFit="1" customWidth="1"/>
    <col min="4" max="4" width="6.54296875" bestFit="1" customWidth="1"/>
    <col min="5" max="5" width="9.08984375" bestFit="1" customWidth="1"/>
    <col min="6" max="6" width="6.54296875" bestFit="1" customWidth="1"/>
  </cols>
  <sheetData>
    <row r="1" spans="1:6">
      <c r="A1" t="s">
        <v>78</v>
      </c>
    </row>
    <row r="3" spans="1:6" ht="15.6">
      <c r="A3" s="10" t="s">
        <v>5</v>
      </c>
    </row>
    <row r="5" spans="1:6">
      <c r="C5" t="s">
        <v>22</v>
      </c>
      <c r="D5" t="s">
        <v>21</v>
      </c>
      <c r="E5" t="s">
        <v>57</v>
      </c>
      <c r="F5" t="s">
        <v>21</v>
      </c>
    </row>
    <row r="6" spans="1:6">
      <c r="A6" t="s">
        <v>61</v>
      </c>
      <c r="B6" s="5">
        <v>0</v>
      </c>
      <c r="C6" s="5">
        <f>B6</f>
        <v>0</v>
      </c>
      <c r="D6" s="5">
        <f>((C6/C$19)*100)^2</f>
        <v>0</v>
      </c>
      <c r="E6" s="5">
        <f>C6</f>
        <v>0</v>
      </c>
      <c r="F6" s="5">
        <f>((E6/E$19)*100)^2</f>
        <v>0</v>
      </c>
    </row>
    <row r="7" spans="1:6">
      <c r="A7" t="s">
        <v>62</v>
      </c>
      <c r="B7" s="5">
        <v>76</v>
      </c>
      <c r="C7" s="5">
        <f t="shared" ref="C7:C12" si="0">B7</f>
        <v>76</v>
      </c>
      <c r="D7" s="5">
        <f t="shared" ref="D7:F17" si="1">((C7/C$19)*100)^2</f>
        <v>3470.945255693769</v>
      </c>
      <c r="E7" s="5">
        <f t="shared" ref="E7:E13" si="2">C7</f>
        <v>76</v>
      </c>
      <c r="F7" s="5">
        <f t="shared" si="1"/>
        <v>1661.06242031224</v>
      </c>
    </row>
    <row r="8" spans="1:6">
      <c r="A8" t="s">
        <v>63</v>
      </c>
      <c r="B8" s="5">
        <v>0</v>
      </c>
      <c r="C8" s="5">
        <f t="shared" si="0"/>
        <v>0</v>
      </c>
      <c r="D8" s="5">
        <f t="shared" si="1"/>
        <v>0</v>
      </c>
      <c r="E8" s="5">
        <f t="shared" si="2"/>
        <v>0</v>
      </c>
      <c r="F8" s="5">
        <f t="shared" si="1"/>
        <v>0</v>
      </c>
    </row>
    <row r="9" spans="1:6">
      <c r="A9" t="s">
        <v>64</v>
      </c>
      <c r="B9" s="5">
        <v>0</v>
      </c>
      <c r="C9" s="5">
        <f t="shared" si="0"/>
        <v>0</v>
      </c>
      <c r="D9" s="5">
        <f t="shared" si="1"/>
        <v>0</v>
      </c>
      <c r="E9" s="5">
        <f>C25</f>
        <v>57.474999999999994</v>
      </c>
      <c r="F9" s="5">
        <f t="shared" si="1"/>
        <v>949.98495686685533</v>
      </c>
    </row>
    <row r="10" spans="1:6">
      <c r="A10" t="s">
        <v>65</v>
      </c>
      <c r="B10" s="5">
        <v>36.471232876712328</v>
      </c>
      <c r="C10" s="5"/>
      <c r="D10" s="5">
        <f t="shared" si="1"/>
        <v>0</v>
      </c>
      <c r="E10" s="5">
        <f t="shared" si="2"/>
        <v>0</v>
      </c>
      <c r="F10" s="5">
        <f t="shared" si="1"/>
        <v>0</v>
      </c>
    </row>
    <row r="11" spans="1:6">
      <c r="A11" t="s">
        <v>66</v>
      </c>
      <c r="B11" s="5">
        <v>0</v>
      </c>
      <c r="C11" s="5">
        <f t="shared" si="0"/>
        <v>0</v>
      </c>
      <c r="D11" s="5">
        <f t="shared" si="1"/>
        <v>0</v>
      </c>
      <c r="E11" s="5">
        <f t="shared" si="2"/>
        <v>0</v>
      </c>
      <c r="F11" s="5">
        <f t="shared" si="1"/>
        <v>0</v>
      </c>
    </row>
    <row r="12" spans="1:6">
      <c r="A12" t="s">
        <v>67</v>
      </c>
      <c r="B12" s="5">
        <v>53</v>
      </c>
      <c r="C12" s="5">
        <f t="shared" si="0"/>
        <v>53</v>
      </c>
      <c r="D12" s="5">
        <f t="shared" si="1"/>
        <v>1687.99951925966</v>
      </c>
      <c r="E12" s="5">
        <f t="shared" si="2"/>
        <v>53</v>
      </c>
      <c r="F12" s="5">
        <f t="shared" si="1"/>
        <v>807.81238550157207</v>
      </c>
    </row>
    <row r="13" spans="1:6">
      <c r="A13" t="s">
        <v>68</v>
      </c>
      <c r="B13" s="5">
        <v>53</v>
      </c>
      <c r="C13" s="5"/>
      <c r="D13" s="5">
        <f>((C13/C$19)*100)^2</f>
        <v>0</v>
      </c>
      <c r="E13" s="5">
        <f t="shared" si="2"/>
        <v>0</v>
      </c>
      <c r="F13" s="5">
        <f>((E13/E$19)*100)^2</f>
        <v>0</v>
      </c>
    </row>
    <row r="14" spans="1:6">
      <c r="A14" t="s">
        <v>20</v>
      </c>
      <c r="B14" s="5">
        <v>99999</v>
      </c>
      <c r="C14" s="5"/>
      <c r="D14" s="5">
        <f t="shared" si="1"/>
        <v>0</v>
      </c>
      <c r="E14" s="5"/>
      <c r="F14" s="5">
        <f t="shared" si="1"/>
        <v>0</v>
      </c>
    </row>
    <row r="15" spans="1:6">
      <c r="B15" s="5"/>
      <c r="C15" s="5"/>
      <c r="D15" s="5">
        <f t="shared" si="1"/>
        <v>0</v>
      </c>
      <c r="E15" s="5"/>
      <c r="F15" s="5">
        <f t="shared" si="1"/>
        <v>0</v>
      </c>
    </row>
    <row r="16" spans="1:6">
      <c r="B16" s="5"/>
      <c r="C16" s="5"/>
      <c r="D16" s="5">
        <f t="shared" si="1"/>
        <v>0</v>
      </c>
      <c r="E16" s="5"/>
      <c r="F16" s="5">
        <f t="shared" si="1"/>
        <v>0</v>
      </c>
    </row>
    <row r="17" spans="1:6">
      <c r="B17" s="5"/>
      <c r="C17" s="5"/>
      <c r="D17" s="5">
        <f t="shared" si="1"/>
        <v>0</v>
      </c>
      <c r="E17" s="5"/>
      <c r="F17" s="5">
        <f t="shared" si="1"/>
        <v>0</v>
      </c>
    </row>
    <row r="18" spans="1:6">
      <c r="B18" s="5"/>
      <c r="C18" s="5"/>
      <c r="D18" s="5"/>
      <c r="E18" s="5"/>
      <c r="F18" s="5"/>
    </row>
    <row r="19" spans="1:6">
      <c r="B19" s="5"/>
      <c r="C19" s="5">
        <f>SUM(C6:C18)</f>
        <v>129</v>
      </c>
      <c r="D19" s="5">
        <f>SUM(D6:D18)</f>
        <v>5158.9447749534293</v>
      </c>
      <c r="E19" s="5">
        <f>SUM(E6:E18)</f>
        <v>186.47499999999999</v>
      </c>
      <c r="F19" s="5">
        <f>SUM(F6:F18)</f>
        <v>3418.8597626806672</v>
      </c>
    </row>
    <row r="21" spans="1:6">
      <c r="C21" t="s">
        <v>25</v>
      </c>
      <c r="D21" t="s">
        <v>21</v>
      </c>
      <c r="E21" t="s">
        <v>58</v>
      </c>
      <c r="F21" t="s">
        <v>21</v>
      </c>
    </row>
    <row r="22" spans="1:6">
      <c r="A22" t="s">
        <v>61</v>
      </c>
      <c r="B22" s="5">
        <v>75</v>
      </c>
      <c r="C22" s="5">
        <f>B22</f>
        <v>75</v>
      </c>
      <c r="D22" s="5">
        <f>((C22/C$35)*100)^2</f>
        <v>455.33773991321789</v>
      </c>
      <c r="E22" s="5">
        <f>C22</f>
        <v>75</v>
      </c>
      <c r="F22" s="5">
        <f>((E22/E$35)*100)^2</f>
        <v>650.77051228654739</v>
      </c>
    </row>
    <row r="23" spans="1:6">
      <c r="A23" t="s">
        <v>62</v>
      </c>
      <c r="B23" s="5">
        <v>76</v>
      </c>
      <c r="C23" s="5">
        <f t="shared" ref="C23:C28" si="3">B23</f>
        <v>76</v>
      </c>
      <c r="D23" s="5">
        <f t="shared" ref="D23:F33" si="4">((C23/C$35)*100)^2</f>
        <v>467.56102857577719</v>
      </c>
      <c r="E23" s="5">
        <f t="shared" ref="E23:E29" si="5">C23</f>
        <v>76</v>
      </c>
      <c r="F23" s="5">
        <f t="shared" si="4"/>
        <v>668.24008514970626</v>
      </c>
    </row>
    <row r="24" spans="1:6">
      <c r="A24" t="s">
        <v>63</v>
      </c>
      <c r="B24" s="5">
        <v>0</v>
      </c>
      <c r="C24" s="5">
        <f t="shared" si="3"/>
        <v>0</v>
      </c>
      <c r="D24" s="5">
        <f t="shared" si="4"/>
        <v>0</v>
      </c>
      <c r="E24" s="5">
        <f t="shared" si="5"/>
        <v>0</v>
      </c>
      <c r="F24" s="5">
        <f t="shared" si="4"/>
        <v>0</v>
      </c>
    </row>
    <row r="25" spans="1:6">
      <c r="A25" t="s">
        <v>64</v>
      </c>
      <c r="B25" s="5">
        <v>57.474999999999994</v>
      </c>
      <c r="C25" s="5">
        <f t="shared" si="3"/>
        <v>57.474999999999994</v>
      </c>
      <c r="D25" s="5">
        <f t="shared" si="4"/>
        <v>267.40472731945118</v>
      </c>
      <c r="E25" s="5"/>
      <c r="F25" s="5"/>
    </row>
    <row r="26" spans="1:6">
      <c r="A26" t="s">
        <v>65</v>
      </c>
      <c r="B26" s="5">
        <v>36.471232876712328</v>
      </c>
      <c r="C26" s="5"/>
      <c r="D26" s="5">
        <f t="shared" si="4"/>
        <v>0</v>
      </c>
      <c r="E26" s="5">
        <f t="shared" si="5"/>
        <v>0</v>
      </c>
      <c r="F26" s="5">
        <f t="shared" si="4"/>
        <v>0</v>
      </c>
    </row>
    <row r="27" spans="1:6">
      <c r="A27" t="s">
        <v>66</v>
      </c>
      <c r="B27" s="5">
        <v>90</v>
      </c>
      <c r="C27" s="5">
        <f t="shared" si="3"/>
        <v>90</v>
      </c>
      <c r="D27" s="5">
        <f t="shared" si="4"/>
        <v>655.68634547503382</v>
      </c>
      <c r="E27" s="5">
        <f t="shared" si="5"/>
        <v>90</v>
      </c>
      <c r="F27" s="5">
        <f t="shared" si="4"/>
        <v>937.10953769262801</v>
      </c>
    </row>
    <row r="28" spans="1:6">
      <c r="A28" t="s">
        <v>67</v>
      </c>
      <c r="B28" s="5">
        <v>53</v>
      </c>
      <c r="C28" s="5">
        <f t="shared" si="3"/>
        <v>53</v>
      </c>
      <c r="D28" s="5">
        <f>((C28/C$35)*100)^2</f>
        <v>227.38554869621854</v>
      </c>
      <c r="E28" s="5">
        <f t="shared" si="5"/>
        <v>53</v>
      </c>
      <c r="F28" s="5">
        <f>((E28/E$35)*100)^2</f>
        <v>324.98033226896206</v>
      </c>
    </row>
    <row r="29" spans="1:6">
      <c r="A29" t="s">
        <v>68</v>
      </c>
      <c r="B29" s="5">
        <v>53</v>
      </c>
      <c r="C29" s="5"/>
      <c r="D29" s="5">
        <f t="shared" si="4"/>
        <v>0</v>
      </c>
      <c r="E29" s="5">
        <f t="shared" si="5"/>
        <v>0</v>
      </c>
      <c r="F29" s="5">
        <f t="shared" si="4"/>
        <v>0</v>
      </c>
    </row>
    <row r="30" spans="1:6">
      <c r="A30" t="s">
        <v>20</v>
      </c>
      <c r="B30" s="5">
        <v>99999</v>
      </c>
      <c r="C30" s="5"/>
      <c r="D30" s="5">
        <f t="shared" si="4"/>
        <v>0</v>
      </c>
      <c r="E30" s="5"/>
      <c r="F30" s="5">
        <f t="shared" si="4"/>
        <v>0</v>
      </c>
    </row>
    <row r="31" spans="1:6">
      <c r="B31" s="5"/>
      <c r="C31" s="5"/>
      <c r="D31" s="5">
        <f t="shared" si="4"/>
        <v>0</v>
      </c>
      <c r="E31" s="5"/>
      <c r="F31" s="5">
        <f t="shared" si="4"/>
        <v>0</v>
      </c>
    </row>
    <row r="32" spans="1:6">
      <c r="B32" s="5"/>
      <c r="C32" s="5"/>
      <c r="D32" s="5">
        <f t="shared" si="4"/>
        <v>0</v>
      </c>
      <c r="E32" s="5"/>
      <c r="F32" s="5">
        <f t="shared" si="4"/>
        <v>0</v>
      </c>
    </row>
    <row r="33" spans="1:6">
      <c r="B33" s="5"/>
      <c r="C33" s="5"/>
      <c r="D33" s="5">
        <f t="shared" si="4"/>
        <v>0</v>
      </c>
      <c r="E33" s="5"/>
      <c r="F33" s="5">
        <f t="shared" si="4"/>
        <v>0</v>
      </c>
    </row>
    <row r="34" spans="1:6">
      <c r="B34" s="5"/>
      <c r="C34" s="5"/>
      <c r="D34" s="5"/>
      <c r="E34" s="5"/>
      <c r="F34" s="5"/>
    </row>
    <row r="35" spans="1:6">
      <c r="B35" s="5"/>
      <c r="C35" s="5">
        <f>SUM(C22:C34)</f>
        <v>351.47500000000002</v>
      </c>
      <c r="D35" s="5">
        <f>SUM(D22:D34)</f>
        <v>2073.3753899796984</v>
      </c>
      <c r="E35" s="5">
        <f>SUM(E22:E34)</f>
        <v>294</v>
      </c>
      <c r="F35" s="5">
        <f>SUM(F22:F34)</f>
        <v>2581.1004673978441</v>
      </c>
    </row>
    <row r="38" spans="1:6" ht="15.6">
      <c r="A38" s="10" t="s">
        <v>37</v>
      </c>
    </row>
    <row r="39" spans="1:6" hidden="1"/>
    <row r="40" spans="1:6" hidden="1">
      <c r="C40" s="4"/>
    </row>
    <row r="41" spans="1:6" hidden="1"/>
    <row r="43" spans="1:6" ht="15.6">
      <c r="A43" s="10" t="s">
        <v>0</v>
      </c>
    </row>
    <row r="44" spans="1:6">
      <c r="B44" t="s">
        <v>59</v>
      </c>
    </row>
    <row r="45" spans="1:6">
      <c r="A45" t="s">
        <v>42</v>
      </c>
      <c r="B45">
        <v>104</v>
      </c>
    </row>
    <row r="46" spans="1:6">
      <c r="A46" t="s">
        <v>81</v>
      </c>
      <c r="B46" s="42">
        <v>76</v>
      </c>
      <c r="C46" t="s">
        <v>82</v>
      </c>
      <c r="E46">
        <v>90</v>
      </c>
      <c r="F46" t="s">
        <v>83</v>
      </c>
    </row>
    <row r="48" spans="1:6">
      <c r="A48" t="s">
        <v>59</v>
      </c>
      <c r="E48" t="s">
        <v>71</v>
      </c>
    </row>
    <row r="49" spans="1:7">
      <c r="A49" t="s">
        <v>22</v>
      </c>
      <c r="B49" s="36">
        <f>(B10+B12+B13+B7-B46)/B45</f>
        <v>1.3699157007376184</v>
      </c>
      <c r="C49" s="15" t="s">
        <v>69</v>
      </c>
      <c r="E49" s="36">
        <f>(B10+B12+B13+B25+B7-B46)/B45</f>
        <v>1.9225599315068491</v>
      </c>
      <c r="F49" s="4"/>
      <c r="G49" s="34"/>
    </row>
    <row r="50" spans="1:7">
      <c r="A50" t="s">
        <v>25</v>
      </c>
      <c r="B50" s="36">
        <f>(B22+B23+B25+B26+B28+B29+B27-E46)/B45</f>
        <v>3.3744830084299262</v>
      </c>
      <c r="C50" s="15" t="s">
        <v>70</v>
      </c>
      <c r="E50" s="36">
        <f>(B22+B23+B26+B28+B29+B27-E46)/B45</f>
        <v>2.821838777660695</v>
      </c>
      <c r="F50" s="4"/>
      <c r="G50" s="34"/>
    </row>
    <row r="53" spans="1:7" ht="15.6">
      <c r="A53" s="10" t="s">
        <v>44</v>
      </c>
    </row>
    <row r="55" spans="1:7">
      <c r="A55" t="s">
        <v>47</v>
      </c>
      <c r="B55" t="s">
        <v>59</v>
      </c>
    </row>
    <row r="56" spans="1:7">
      <c r="A56" t="s">
        <v>45</v>
      </c>
      <c r="B56">
        <f>51+30</f>
        <v>81</v>
      </c>
    </row>
    <row r="57" spans="1:7">
      <c r="A57" t="s">
        <v>46</v>
      </c>
      <c r="B57">
        <f>58+91</f>
        <v>149</v>
      </c>
    </row>
    <row r="58" spans="1:7">
      <c r="A58" t="s">
        <v>54</v>
      </c>
      <c r="B58">
        <v>39</v>
      </c>
    </row>
    <row r="59" spans="1:7">
      <c r="A59" t="s">
        <v>55</v>
      </c>
      <c r="B59">
        <v>39</v>
      </c>
    </row>
    <row r="61" spans="1:7">
      <c r="A61" t="s">
        <v>48</v>
      </c>
      <c r="B61">
        <v>0</v>
      </c>
    </row>
    <row r="62" spans="1:7">
      <c r="A62" t="s">
        <v>49</v>
      </c>
      <c r="B62">
        <f>89+176+416</f>
        <v>681</v>
      </c>
    </row>
    <row r="64" spans="1:7">
      <c r="A64" t="s">
        <v>50</v>
      </c>
      <c r="B64">
        <v>2</v>
      </c>
    </row>
    <row r="65" spans="1:6">
      <c r="A65" t="s">
        <v>51</v>
      </c>
      <c r="B65">
        <v>4</v>
      </c>
    </row>
    <row r="68" spans="1:6">
      <c r="A68" t="s">
        <v>45</v>
      </c>
      <c r="B68" t="s">
        <v>59</v>
      </c>
      <c r="C68" t="s">
        <v>60</v>
      </c>
    </row>
    <row r="69" spans="1:6">
      <c r="A69" t="s">
        <v>22</v>
      </c>
      <c r="B69" s="9">
        <f>MIN(B61,B10+(B64-1)/B64*(B7+B12)+B11-B56)/B56</f>
        <v>0</v>
      </c>
      <c r="C69" s="9">
        <f>MIN(B61,B10+(B64-1)/B64*(B7+B12)+B11+B25-B56)/B56</f>
        <v>0</v>
      </c>
      <c r="D69" s="4"/>
      <c r="F69" s="4"/>
    </row>
    <row r="70" spans="1:6">
      <c r="A70" t="s">
        <v>25</v>
      </c>
      <c r="B70" s="9">
        <f>MIN(B62,(B65-1)/B65*(B22+B23+B27+B28)+B25+B26-B59-B56)/B56</f>
        <v>2.4005707762557082</v>
      </c>
      <c r="C70" s="9">
        <f>MIN(B62,(B65-1)/B65*(B22+B23+B27+B28)+B26-B59-B56)/B56</f>
        <v>1.6910028750211401</v>
      </c>
      <c r="D70" s="4"/>
      <c r="F70" s="4"/>
    </row>
    <row r="72" spans="1:6">
      <c r="A72" t="s">
        <v>46</v>
      </c>
      <c r="B72" t="s">
        <v>59</v>
      </c>
      <c r="C72" t="s">
        <v>60</v>
      </c>
    </row>
    <row r="73" spans="1:6">
      <c r="A73" t="s">
        <v>22</v>
      </c>
      <c r="B73" s="9">
        <f>MIN(B61,B10+(B64-1)/B64*(B7+B12)-B11-B57)/B57</f>
        <v>-0.32234071894823946</v>
      </c>
      <c r="C73" s="9">
        <f>MIN(B61,B10+(B64-1)/B64*(B7+B12)+B25-B11-B57)/B57</f>
        <v>0</v>
      </c>
      <c r="D73" s="4"/>
      <c r="F73" s="4"/>
    </row>
    <row r="74" spans="1:6">
      <c r="A74" t="s">
        <v>25</v>
      </c>
      <c r="B74" s="9">
        <f>MIN(B62,(B65-1)/B65*(B22+B23+B27+B28)+B25+B26+B59-B57)/B57</f>
        <v>1.3721223683000829</v>
      </c>
      <c r="C74" s="9">
        <f>MIN(B62,(B65-1)/B65*(B22+B23+B27+B28)+B26+B59-B57)/B57</f>
        <v>0.98638411326652586</v>
      </c>
      <c r="D74" s="4"/>
      <c r="F74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37" sqref="G37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GIPL</vt:lpstr>
      <vt:lpstr>LNG Krk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Lebois</dc:creator>
  <cp:lastModifiedBy>Mirsada Spaho</cp:lastModifiedBy>
  <dcterms:created xsi:type="dcterms:W3CDTF">2014-03-21T08:44:16Z</dcterms:created>
  <dcterms:modified xsi:type="dcterms:W3CDTF">2014-04-04T12:36:58Z</dcterms:modified>
</cp:coreProperties>
</file>