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3430" yWindow="6915" windowWidth="20565" windowHeight="7395" tabRatio="790" firstSheet="4" activeTab="4"/>
  </bookViews>
  <sheets>
    <sheet name="First serie of test" sheetId="1" state="hidden" r:id="rId1"/>
    <sheet name="2nd serie of test" sheetId="4" state="hidden" r:id="rId2"/>
    <sheet name="3rd serie of test" sheetId="9" state="hidden" r:id="rId3"/>
    <sheet name="4th serie of test" sheetId="10" state="hidden" r:id="rId4"/>
    <sheet name="Summary" sheetId="18" r:id="rId5"/>
    <sheet name="5th round - case study" sheetId="11" state="hidden" r:id="rId6"/>
    <sheet name="5th round - case study (GIPL)" sheetId="12" state="hidden" r:id="rId7"/>
    <sheet name="5th round - case study (UGSGR)" sheetId="15" state="hidden" r:id="rId8"/>
    <sheet name="5th round - case study (LNGHR)" sheetId="16" state="hidden" r:id="rId9"/>
    <sheet name="stg 2x500 vs. 2x1000 green" sheetId="5" state="hidden" r:id="rId10"/>
    <sheet name="stg 2x500 vs. 2x1000 intermedia" sheetId="6" state="hidden" r:id="rId11"/>
    <sheet name="stg 2x500 intermediate vs green" sheetId="7" state="hidden" r:id="rId12"/>
    <sheet name="stg 2x1000 intermediate vs gre" sheetId="8" state="hidden" r:id="rId13"/>
    <sheet name="Sheet2" sheetId="2" state="hidden" r:id="rId14"/>
    <sheet name="Sheet3" sheetId="3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</externalReferences>
  <definedNames>
    <definedName name="_xlnm._FilterDatabase" localSheetId="1" hidden="1">'2nd serie of test'!$A$5:$DL$41</definedName>
  </definedNames>
  <calcPr calcId="145621" concurrentCalc="0"/>
</workbook>
</file>

<file path=xl/calcChain.xml><?xml version="1.0" encoding="utf-8"?>
<calcChain xmlns="http://schemas.openxmlformats.org/spreadsheetml/2006/main">
  <c r="G91" i="18" l="1"/>
  <c r="H91" i="18"/>
  <c r="I91" i="18"/>
  <c r="G92" i="18"/>
  <c r="H92" i="18"/>
  <c r="I92" i="18"/>
  <c r="G93" i="18"/>
  <c r="H93" i="18"/>
  <c r="I93" i="18"/>
  <c r="G94" i="18"/>
  <c r="H94" i="18"/>
  <c r="I94" i="18"/>
  <c r="G95" i="18"/>
  <c r="H95" i="18"/>
  <c r="I95" i="18"/>
  <c r="G96" i="18"/>
  <c r="H96" i="18"/>
  <c r="I96" i="18"/>
  <c r="G97" i="18"/>
  <c r="H97" i="18"/>
  <c r="I97" i="18"/>
  <c r="G98" i="18"/>
  <c r="H98" i="18"/>
  <c r="I98" i="18"/>
  <c r="G99" i="18"/>
  <c r="H99" i="18"/>
  <c r="I99" i="18"/>
  <c r="G100" i="18"/>
  <c r="H100" i="18"/>
  <c r="I100" i="18"/>
  <c r="G101" i="18"/>
  <c r="H101" i="18"/>
  <c r="I101" i="18"/>
  <c r="G102" i="18"/>
  <c r="H102" i="18"/>
  <c r="I102" i="18"/>
  <c r="G103" i="18"/>
  <c r="H103" i="18"/>
  <c r="I103" i="18"/>
  <c r="G104" i="18"/>
  <c r="H104" i="18"/>
  <c r="I104" i="18"/>
  <c r="G105" i="18"/>
  <c r="H105" i="18"/>
  <c r="I105" i="18"/>
  <c r="G106" i="18"/>
  <c r="H106" i="18"/>
  <c r="I106" i="18"/>
  <c r="G107" i="18"/>
  <c r="H107" i="18"/>
  <c r="I107" i="18"/>
  <c r="G108" i="18"/>
  <c r="H108" i="18"/>
  <c r="I108" i="18"/>
  <c r="G109" i="18"/>
  <c r="H109" i="18"/>
  <c r="I109" i="18"/>
  <c r="G110" i="18"/>
  <c r="H110" i="18"/>
  <c r="I110" i="18"/>
  <c r="G111" i="18"/>
  <c r="H111" i="18"/>
  <c r="I111" i="18"/>
  <c r="G112" i="18"/>
  <c r="H112" i="18"/>
  <c r="I112" i="18"/>
  <c r="G113" i="18"/>
  <c r="H113" i="18"/>
  <c r="I113" i="18"/>
  <c r="G114" i="18"/>
  <c r="H114" i="18"/>
  <c r="I114" i="18"/>
  <c r="G115" i="18"/>
  <c r="H115" i="18"/>
  <c r="I115" i="18"/>
  <c r="H90" i="18"/>
  <c r="I90" i="18"/>
  <c r="G90" i="18"/>
  <c r="M64" i="18"/>
  <c r="J65" i="18"/>
  <c r="K65" i="18"/>
  <c r="L65" i="18"/>
  <c r="M65" i="18"/>
  <c r="N65" i="18"/>
  <c r="O65" i="18"/>
  <c r="J66" i="18"/>
  <c r="K66" i="18"/>
  <c r="L66" i="18"/>
  <c r="M66" i="18"/>
  <c r="N66" i="18"/>
  <c r="O66" i="18"/>
  <c r="J67" i="18"/>
  <c r="K67" i="18"/>
  <c r="L67" i="18"/>
  <c r="M67" i="18"/>
  <c r="N67" i="18"/>
  <c r="O67" i="18"/>
  <c r="J68" i="18"/>
  <c r="K68" i="18"/>
  <c r="L68" i="18"/>
  <c r="M68" i="18"/>
  <c r="N68" i="18"/>
  <c r="O68" i="18"/>
  <c r="J69" i="18"/>
  <c r="K69" i="18"/>
  <c r="L69" i="18"/>
  <c r="M69" i="18"/>
  <c r="N69" i="18"/>
  <c r="O69" i="18"/>
  <c r="J70" i="18"/>
  <c r="K70" i="18"/>
  <c r="L70" i="18"/>
  <c r="M70" i="18"/>
  <c r="N70" i="18"/>
  <c r="O70" i="18"/>
  <c r="J71" i="18"/>
  <c r="K71" i="18"/>
  <c r="L71" i="18"/>
  <c r="M71" i="18"/>
  <c r="N71" i="18"/>
  <c r="O71" i="18"/>
  <c r="J72" i="18"/>
  <c r="K72" i="18"/>
  <c r="L72" i="18"/>
  <c r="M72" i="18"/>
  <c r="N72" i="18"/>
  <c r="O72" i="18"/>
  <c r="J73" i="18"/>
  <c r="K73" i="18"/>
  <c r="L73" i="18"/>
  <c r="M73" i="18"/>
  <c r="N73" i="18"/>
  <c r="O73" i="18"/>
  <c r="J74" i="18"/>
  <c r="K74" i="18"/>
  <c r="L74" i="18"/>
  <c r="M74" i="18"/>
  <c r="N74" i="18"/>
  <c r="O74" i="18"/>
  <c r="J75" i="18"/>
  <c r="K75" i="18"/>
  <c r="L75" i="18"/>
  <c r="M75" i="18"/>
  <c r="N75" i="18"/>
  <c r="O75" i="18"/>
  <c r="J76" i="18"/>
  <c r="K76" i="18"/>
  <c r="L76" i="18"/>
  <c r="M76" i="18"/>
  <c r="N76" i="18"/>
  <c r="O76" i="18"/>
  <c r="J77" i="18"/>
  <c r="K77" i="18"/>
  <c r="L77" i="18"/>
  <c r="M77" i="18"/>
  <c r="N77" i="18"/>
  <c r="O77" i="18"/>
  <c r="J78" i="18"/>
  <c r="K78" i="18"/>
  <c r="L78" i="18"/>
  <c r="M78" i="18"/>
  <c r="N78" i="18"/>
  <c r="O78" i="18"/>
  <c r="J79" i="18"/>
  <c r="K79" i="18"/>
  <c r="L79" i="18"/>
  <c r="M79" i="18"/>
  <c r="N79" i="18"/>
  <c r="O79" i="18"/>
  <c r="J80" i="18"/>
  <c r="K80" i="18"/>
  <c r="L80" i="18"/>
  <c r="M80" i="18"/>
  <c r="N80" i="18"/>
  <c r="O80" i="18"/>
  <c r="J81" i="18"/>
  <c r="K81" i="18"/>
  <c r="L81" i="18"/>
  <c r="M81" i="18"/>
  <c r="N81" i="18"/>
  <c r="O81" i="18"/>
  <c r="J82" i="18"/>
  <c r="K82" i="18"/>
  <c r="L82" i="18"/>
  <c r="M82" i="18"/>
  <c r="N82" i="18"/>
  <c r="O82" i="18"/>
  <c r="J83" i="18"/>
  <c r="K83" i="18"/>
  <c r="L83" i="18"/>
  <c r="M83" i="18"/>
  <c r="N83" i="18"/>
  <c r="O83" i="18"/>
  <c r="J84" i="18"/>
  <c r="K84" i="18"/>
  <c r="L84" i="18"/>
  <c r="M84" i="18"/>
  <c r="N84" i="18"/>
  <c r="O84" i="18"/>
  <c r="J85" i="18"/>
  <c r="K85" i="18"/>
  <c r="L85" i="18"/>
  <c r="M85" i="18"/>
  <c r="N85" i="18"/>
  <c r="O85" i="18"/>
  <c r="J86" i="18"/>
  <c r="K86" i="18"/>
  <c r="L86" i="18"/>
  <c r="M86" i="18"/>
  <c r="N86" i="18"/>
  <c r="O86" i="18"/>
  <c r="J87" i="18"/>
  <c r="K87" i="18"/>
  <c r="L87" i="18"/>
  <c r="M87" i="18"/>
  <c r="N87" i="18"/>
  <c r="O87" i="18"/>
  <c r="J88" i="18"/>
  <c r="K88" i="18"/>
  <c r="L88" i="18"/>
  <c r="M88" i="18"/>
  <c r="N88" i="18"/>
  <c r="O88" i="18"/>
  <c r="J89" i="18"/>
  <c r="K89" i="18"/>
  <c r="L89" i="18"/>
  <c r="M89" i="18"/>
  <c r="N89" i="18"/>
  <c r="O89" i="18"/>
  <c r="J90" i="18"/>
  <c r="K90" i="18"/>
  <c r="L90" i="18"/>
  <c r="M90" i="18"/>
  <c r="N90" i="18"/>
  <c r="O90" i="18"/>
  <c r="J91" i="18"/>
  <c r="K91" i="18"/>
  <c r="L91" i="18"/>
  <c r="M91" i="18"/>
  <c r="N91" i="18"/>
  <c r="O91" i="18"/>
  <c r="J92" i="18"/>
  <c r="K92" i="18"/>
  <c r="L92" i="18"/>
  <c r="M92" i="18"/>
  <c r="N92" i="18"/>
  <c r="O92" i="18"/>
  <c r="J93" i="18"/>
  <c r="K93" i="18"/>
  <c r="L93" i="18"/>
  <c r="M93" i="18"/>
  <c r="N93" i="18"/>
  <c r="O93" i="18"/>
  <c r="J94" i="18"/>
  <c r="K94" i="18"/>
  <c r="L94" i="18"/>
  <c r="M94" i="18"/>
  <c r="N94" i="18"/>
  <c r="O94" i="18"/>
  <c r="J95" i="18"/>
  <c r="K95" i="18"/>
  <c r="L95" i="18"/>
  <c r="M95" i="18"/>
  <c r="N95" i="18"/>
  <c r="O95" i="18"/>
  <c r="J96" i="18"/>
  <c r="K96" i="18"/>
  <c r="L96" i="18"/>
  <c r="M96" i="18"/>
  <c r="N96" i="18"/>
  <c r="O96" i="18"/>
  <c r="J97" i="18"/>
  <c r="K97" i="18"/>
  <c r="L97" i="18"/>
  <c r="M97" i="18"/>
  <c r="N97" i="18"/>
  <c r="O97" i="18"/>
  <c r="J98" i="18"/>
  <c r="K98" i="18"/>
  <c r="L98" i="18"/>
  <c r="M98" i="18"/>
  <c r="N98" i="18"/>
  <c r="O98" i="18"/>
  <c r="J99" i="18"/>
  <c r="K99" i="18"/>
  <c r="L99" i="18"/>
  <c r="M99" i="18"/>
  <c r="N99" i="18"/>
  <c r="O99" i="18"/>
  <c r="J100" i="18"/>
  <c r="K100" i="18"/>
  <c r="L100" i="18"/>
  <c r="M100" i="18"/>
  <c r="N100" i="18"/>
  <c r="O100" i="18"/>
  <c r="J101" i="18"/>
  <c r="K101" i="18"/>
  <c r="L101" i="18"/>
  <c r="M101" i="18"/>
  <c r="N101" i="18"/>
  <c r="O101" i="18"/>
  <c r="J102" i="18"/>
  <c r="K102" i="18"/>
  <c r="L102" i="18"/>
  <c r="M102" i="18"/>
  <c r="N102" i="18"/>
  <c r="O102" i="18"/>
  <c r="J103" i="18"/>
  <c r="K103" i="18"/>
  <c r="L103" i="18"/>
  <c r="M103" i="18"/>
  <c r="N103" i="18"/>
  <c r="O103" i="18"/>
  <c r="J104" i="18"/>
  <c r="K104" i="18"/>
  <c r="L104" i="18"/>
  <c r="M104" i="18"/>
  <c r="N104" i="18"/>
  <c r="O104" i="18"/>
  <c r="J105" i="18"/>
  <c r="K105" i="18"/>
  <c r="L105" i="18"/>
  <c r="M105" i="18"/>
  <c r="N105" i="18"/>
  <c r="O105" i="18"/>
  <c r="J106" i="18"/>
  <c r="K106" i="18"/>
  <c r="L106" i="18"/>
  <c r="M106" i="18"/>
  <c r="N106" i="18"/>
  <c r="O106" i="18"/>
  <c r="J107" i="18"/>
  <c r="K107" i="18"/>
  <c r="L107" i="18"/>
  <c r="M107" i="18"/>
  <c r="N107" i="18"/>
  <c r="O107" i="18"/>
  <c r="J108" i="18"/>
  <c r="K108" i="18"/>
  <c r="L108" i="18"/>
  <c r="M108" i="18"/>
  <c r="N108" i="18"/>
  <c r="O108" i="18"/>
  <c r="J109" i="18"/>
  <c r="K109" i="18"/>
  <c r="L109" i="18"/>
  <c r="M109" i="18"/>
  <c r="N109" i="18"/>
  <c r="O109" i="18"/>
  <c r="J110" i="18"/>
  <c r="K110" i="18"/>
  <c r="L110" i="18"/>
  <c r="M110" i="18"/>
  <c r="N110" i="18"/>
  <c r="O110" i="18"/>
  <c r="J111" i="18"/>
  <c r="K111" i="18"/>
  <c r="L111" i="18"/>
  <c r="M111" i="18"/>
  <c r="N111" i="18"/>
  <c r="O111" i="18"/>
  <c r="J112" i="18"/>
  <c r="K112" i="18"/>
  <c r="L112" i="18"/>
  <c r="M112" i="18"/>
  <c r="N112" i="18"/>
  <c r="O112" i="18"/>
  <c r="J113" i="18"/>
  <c r="K113" i="18"/>
  <c r="L113" i="18"/>
  <c r="M113" i="18"/>
  <c r="N113" i="18"/>
  <c r="O113" i="18"/>
  <c r="J114" i="18"/>
  <c r="K114" i="18"/>
  <c r="L114" i="18"/>
  <c r="M114" i="18"/>
  <c r="N114" i="18"/>
  <c r="O114" i="18"/>
  <c r="J115" i="18"/>
  <c r="K115" i="18"/>
  <c r="L115" i="18"/>
  <c r="M115" i="18"/>
  <c r="N115" i="18"/>
  <c r="O115" i="18"/>
  <c r="N64" i="18"/>
  <c r="O64" i="18"/>
  <c r="L64" i="18"/>
  <c r="K64" i="18"/>
  <c r="J64" i="18"/>
  <c r="U5" i="11"/>
  <c r="V5" i="11"/>
  <c r="W5" i="11"/>
  <c r="U6" i="11"/>
  <c r="V6" i="11"/>
  <c r="W6" i="11"/>
  <c r="U7" i="11"/>
  <c r="V7" i="11"/>
  <c r="W7" i="11"/>
  <c r="U8" i="11"/>
  <c r="V8" i="11"/>
  <c r="W8" i="11"/>
  <c r="U9" i="11"/>
  <c r="V9" i="11"/>
  <c r="W9" i="11"/>
  <c r="U10" i="11"/>
  <c r="V10" i="11"/>
  <c r="W10" i="11"/>
  <c r="U11" i="11"/>
  <c r="V11" i="11"/>
  <c r="W11" i="11"/>
  <c r="U12" i="11"/>
  <c r="V12" i="11"/>
  <c r="W12" i="11"/>
  <c r="U13" i="11"/>
  <c r="V13" i="11"/>
  <c r="W13" i="11"/>
  <c r="U14" i="11"/>
  <c r="V14" i="11"/>
  <c r="W14" i="11"/>
  <c r="U15" i="11"/>
  <c r="V15" i="11"/>
  <c r="W15" i="11"/>
  <c r="U16" i="11"/>
  <c r="V16" i="11"/>
  <c r="W16" i="11"/>
  <c r="U17" i="11"/>
  <c r="V17" i="11"/>
  <c r="W17" i="11"/>
  <c r="U18" i="11"/>
  <c r="V18" i="11"/>
  <c r="W18" i="11"/>
  <c r="U19" i="11"/>
  <c r="V19" i="11"/>
  <c r="W19" i="11"/>
  <c r="U20" i="11"/>
  <c r="V20" i="11"/>
  <c r="W20" i="11"/>
  <c r="U21" i="11"/>
  <c r="V21" i="11"/>
  <c r="W21" i="11"/>
  <c r="U22" i="11"/>
  <c r="V22" i="11"/>
  <c r="W22" i="11"/>
  <c r="U23" i="11"/>
  <c r="V23" i="11"/>
  <c r="W23" i="11"/>
  <c r="U24" i="11"/>
  <c r="V24" i="11"/>
  <c r="W24" i="11"/>
  <c r="U25" i="11"/>
  <c r="V25" i="11"/>
  <c r="W25" i="11"/>
  <c r="U26" i="11"/>
  <c r="V26" i="11"/>
  <c r="W26" i="11"/>
  <c r="U27" i="11"/>
  <c r="V27" i="11"/>
  <c r="W27" i="11"/>
  <c r="U28" i="11"/>
  <c r="V28" i="11"/>
  <c r="W28" i="11"/>
  <c r="U29" i="11"/>
  <c r="V29" i="11"/>
  <c r="W29" i="11"/>
  <c r="U30" i="11"/>
  <c r="V30" i="11"/>
  <c r="W30" i="11"/>
  <c r="U31" i="11"/>
  <c r="V31" i="11"/>
  <c r="W31" i="11"/>
  <c r="U32" i="11"/>
  <c r="V32" i="11"/>
  <c r="W32" i="11"/>
  <c r="U33" i="11"/>
  <c r="V33" i="11"/>
  <c r="W33" i="11"/>
  <c r="U34" i="11"/>
  <c r="V34" i="11"/>
  <c r="W34" i="11"/>
  <c r="U35" i="11"/>
  <c r="V35" i="11"/>
  <c r="W35" i="11"/>
  <c r="U36" i="11"/>
  <c r="V36" i="11"/>
  <c r="W36" i="11"/>
  <c r="U37" i="11"/>
  <c r="V37" i="11"/>
  <c r="W37" i="11"/>
  <c r="U38" i="11"/>
  <c r="V38" i="11"/>
  <c r="W38" i="11"/>
  <c r="U39" i="11"/>
  <c r="V39" i="11"/>
  <c r="W39" i="11"/>
  <c r="U40" i="11"/>
  <c r="V40" i="11"/>
  <c r="W40" i="11"/>
  <c r="U41" i="11"/>
  <c r="V41" i="11"/>
  <c r="W41" i="11"/>
  <c r="U42" i="11"/>
  <c r="V42" i="11"/>
  <c r="W42" i="11"/>
  <c r="U43" i="11"/>
  <c r="V43" i="11"/>
  <c r="W43" i="11"/>
  <c r="U44" i="11"/>
  <c r="V44" i="11"/>
  <c r="W44" i="11"/>
  <c r="U45" i="11"/>
  <c r="V45" i="11"/>
  <c r="W45" i="11"/>
  <c r="U46" i="11"/>
  <c r="V46" i="11"/>
  <c r="W46" i="11"/>
  <c r="U47" i="11"/>
  <c r="V47" i="11"/>
  <c r="W47" i="11"/>
  <c r="U48" i="11"/>
  <c r="V48" i="11"/>
  <c r="W48" i="11"/>
  <c r="U49" i="11"/>
  <c r="V49" i="11"/>
  <c r="W49" i="11"/>
  <c r="U50" i="11"/>
  <c r="V50" i="11"/>
  <c r="W50" i="11"/>
  <c r="U51" i="11"/>
  <c r="V51" i="11"/>
  <c r="W51" i="11"/>
  <c r="U52" i="11"/>
  <c r="V52" i="11"/>
  <c r="W52" i="11"/>
  <c r="U53" i="11"/>
  <c r="V53" i="11"/>
  <c r="W53" i="11"/>
  <c r="U54" i="11"/>
  <c r="V54" i="11"/>
  <c r="W54" i="11"/>
  <c r="U55" i="11"/>
  <c r="V55" i="11"/>
  <c r="W55" i="11"/>
  <c r="U56" i="11"/>
  <c r="V56" i="11"/>
  <c r="W56" i="11"/>
  <c r="A53" i="18"/>
  <c r="A111" i="18"/>
  <c r="B111" i="18"/>
  <c r="C111" i="18"/>
  <c r="D111" i="18"/>
  <c r="E111" i="18"/>
  <c r="F53" i="18"/>
  <c r="F111" i="18"/>
  <c r="A54" i="18"/>
  <c r="A112" i="18"/>
  <c r="B112" i="18"/>
  <c r="C112" i="18"/>
  <c r="D112" i="18"/>
  <c r="E112" i="18"/>
  <c r="F54" i="18"/>
  <c r="F112" i="18"/>
  <c r="A55" i="18"/>
  <c r="A113" i="18"/>
  <c r="B113" i="18"/>
  <c r="C113" i="18"/>
  <c r="D113" i="18"/>
  <c r="E113" i="18"/>
  <c r="F55" i="18"/>
  <c r="F113" i="18"/>
  <c r="A56" i="18"/>
  <c r="A114" i="18"/>
  <c r="B114" i="18"/>
  <c r="C114" i="18"/>
  <c r="D114" i="18"/>
  <c r="E114" i="18"/>
  <c r="F56" i="18"/>
  <c r="F114" i="18"/>
  <c r="A57" i="18"/>
  <c r="A115" i="18"/>
  <c r="B115" i="18"/>
  <c r="C115" i="18"/>
  <c r="D115" i="18"/>
  <c r="E115" i="18"/>
  <c r="F57" i="18"/>
  <c r="F115" i="18"/>
  <c r="A42" i="18"/>
  <c r="A100" i="18"/>
  <c r="B100" i="18"/>
  <c r="C100" i="18"/>
  <c r="D42" i="18"/>
  <c r="D100" i="18"/>
  <c r="E100" i="18"/>
  <c r="F42" i="18"/>
  <c r="F100" i="18"/>
  <c r="A43" i="18"/>
  <c r="A101" i="18"/>
  <c r="B101" i="18"/>
  <c r="C101" i="18"/>
  <c r="D43" i="18"/>
  <c r="D101" i="18"/>
  <c r="E101" i="18"/>
  <c r="F43" i="18"/>
  <c r="F101" i="18"/>
  <c r="A44" i="18"/>
  <c r="A102" i="18"/>
  <c r="B102" i="18"/>
  <c r="C102" i="18"/>
  <c r="D44" i="18"/>
  <c r="D102" i="18"/>
  <c r="E102" i="18"/>
  <c r="F44" i="18"/>
  <c r="F102" i="18"/>
  <c r="A45" i="18"/>
  <c r="A103" i="18"/>
  <c r="B103" i="18"/>
  <c r="C103" i="18"/>
  <c r="D103" i="18"/>
  <c r="E103" i="18"/>
  <c r="F45" i="18"/>
  <c r="F103" i="18"/>
  <c r="A46" i="18"/>
  <c r="A104" i="18"/>
  <c r="B104" i="18"/>
  <c r="C104" i="18"/>
  <c r="D104" i="18"/>
  <c r="E104" i="18"/>
  <c r="F46" i="18"/>
  <c r="F104" i="18"/>
  <c r="A47" i="18"/>
  <c r="A105" i="18"/>
  <c r="B105" i="18"/>
  <c r="C105" i="18"/>
  <c r="D105" i="18"/>
  <c r="E105" i="18"/>
  <c r="F47" i="18"/>
  <c r="F105" i="18"/>
  <c r="A48" i="18"/>
  <c r="A106" i="18"/>
  <c r="B106" i="18"/>
  <c r="C106" i="18"/>
  <c r="D106" i="18"/>
  <c r="E106" i="18"/>
  <c r="F48" i="18"/>
  <c r="F106" i="18"/>
  <c r="A49" i="18"/>
  <c r="A107" i="18"/>
  <c r="B107" i="18"/>
  <c r="C107" i="18"/>
  <c r="D107" i="18"/>
  <c r="E107" i="18"/>
  <c r="F49" i="18"/>
  <c r="F107" i="18"/>
  <c r="A50" i="18"/>
  <c r="A108" i="18"/>
  <c r="B108" i="18"/>
  <c r="C108" i="18"/>
  <c r="D108" i="18"/>
  <c r="E108" i="18"/>
  <c r="F50" i="18"/>
  <c r="F108" i="18"/>
  <c r="A51" i="18"/>
  <c r="A109" i="18"/>
  <c r="B109" i="18"/>
  <c r="C109" i="18"/>
  <c r="D109" i="18"/>
  <c r="E109" i="18"/>
  <c r="F51" i="18"/>
  <c r="F109" i="18"/>
  <c r="A52" i="18"/>
  <c r="A110" i="18"/>
  <c r="B110" i="18"/>
  <c r="C110" i="18"/>
  <c r="D110" i="18"/>
  <c r="E110" i="18"/>
  <c r="F52" i="18"/>
  <c r="F110" i="18"/>
  <c r="A38" i="18"/>
  <c r="A96" i="18"/>
  <c r="B96" i="18"/>
  <c r="C96" i="18"/>
  <c r="D38" i="18"/>
  <c r="D96" i="18"/>
  <c r="E96" i="18"/>
  <c r="F38" i="18"/>
  <c r="F96" i="18"/>
  <c r="A39" i="18"/>
  <c r="A97" i="18"/>
  <c r="B97" i="18"/>
  <c r="C97" i="18"/>
  <c r="D39" i="18"/>
  <c r="D97" i="18"/>
  <c r="E97" i="18"/>
  <c r="F39" i="18"/>
  <c r="F97" i="18"/>
  <c r="A40" i="18"/>
  <c r="A98" i="18"/>
  <c r="B98" i="18"/>
  <c r="C98" i="18"/>
  <c r="D40" i="18"/>
  <c r="D98" i="18"/>
  <c r="E98" i="18"/>
  <c r="F40" i="18"/>
  <c r="F98" i="18"/>
  <c r="A41" i="18"/>
  <c r="A99" i="18"/>
  <c r="B99" i="18"/>
  <c r="C99" i="18"/>
  <c r="D41" i="18"/>
  <c r="D99" i="18"/>
  <c r="E99" i="18"/>
  <c r="F41" i="18"/>
  <c r="F99" i="18"/>
  <c r="A7" i="18"/>
  <c r="A65" i="18"/>
  <c r="B65" i="18"/>
  <c r="C65" i="18"/>
  <c r="D7" i="18"/>
  <c r="D65" i="18"/>
  <c r="E65" i="18"/>
  <c r="F7" i="18"/>
  <c r="F65" i="18"/>
  <c r="A8" i="18"/>
  <c r="A66" i="18"/>
  <c r="B66" i="18"/>
  <c r="C66" i="18"/>
  <c r="D8" i="18"/>
  <c r="D66" i="18"/>
  <c r="E66" i="18"/>
  <c r="F8" i="18"/>
  <c r="F66" i="18"/>
  <c r="A9" i="18"/>
  <c r="A67" i="18"/>
  <c r="B67" i="18"/>
  <c r="C67" i="18"/>
  <c r="D9" i="18"/>
  <c r="D67" i="18"/>
  <c r="E67" i="18"/>
  <c r="F9" i="18"/>
  <c r="F67" i="18"/>
  <c r="A10" i="18"/>
  <c r="A68" i="18"/>
  <c r="B68" i="18"/>
  <c r="C68" i="18"/>
  <c r="D10" i="18"/>
  <c r="D68" i="18"/>
  <c r="E68" i="18"/>
  <c r="F10" i="18"/>
  <c r="F68" i="18"/>
  <c r="A11" i="18"/>
  <c r="A69" i="18"/>
  <c r="B69" i="18"/>
  <c r="C69" i="18"/>
  <c r="D11" i="18"/>
  <c r="D69" i="18"/>
  <c r="E69" i="18"/>
  <c r="F11" i="18"/>
  <c r="F69" i="18"/>
  <c r="A12" i="18"/>
  <c r="A70" i="18"/>
  <c r="B70" i="18"/>
  <c r="C70" i="18"/>
  <c r="D12" i="18"/>
  <c r="D70" i="18"/>
  <c r="E70" i="18"/>
  <c r="F12" i="18"/>
  <c r="F70" i="18"/>
  <c r="A13" i="18"/>
  <c r="A71" i="18"/>
  <c r="B71" i="18"/>
  <c r="C71" i="18"/>
  <c r="D13" i="18"/>
  <c r="D71" i="18"/>
  <c r="E71" i="18"/>
  <c r="F13" i="18"/>
  <c r="F71" i="18"/>
  <c r="A14" i="18"/>
  <c r="A72" i="18"/>
  <c r="B72" i="18"/>
  <c r="C72" i="18"/>
  <c r="D14" i="18"/>
  <c r="D72" i="18"/>
  <c r="E72" i="18"/>
  <c r="F14" i="18"/>
  <c r="F72" i="18"/>
  <c r="A15" i="18"/>
  <c r="A73" i="18"/>
  <c r="B73" i="18"/>
  <c r="C73" i="18"/>
  <c r="D15" i="18"/>
  <c r="D73" i="18"/>
  <c r="E73" i="18"/>
  <c r="F15" i="18"/>
  <c r="F73" i="18"/>
  <c r="A16" i="18"/>
  <c r="A74" i="18"/>
  <c r="B74" i="18"/>
  <c r="C74" i="18"/>
  <c r="D16" i="18"/>
  <c r="D74" i="18"/>
  <c r="E74" i="18"/>
  <c r="F16" i="18"/>
  <c r="F74" i="18"/>
  <c r="A17" i="18"/>
  <c r="A75" i="18"/>
  <c r="B75" i="18"/>
  <c r="C75" i="18"/>
  <c r="D17" i="18"/>
  <c r="D75" i="18"/>
  <c r="E75" i="18"/>
  <c r="F17" i="18"/>
  <c r="F75" i="18"/>
  <c r="A18" i="18"/>
  <c r="A76" i="18"/>
  <c r="B76" i="18"/>
  <c r="C76" i="18"/>
  <c r="D18" i="18"/>
  <c r="D76" i="18"/>
  <c r="E76" i="18"/>
  <c r="F18" i="18"/>
  <c r="F76" i="18"/>
  <c r="A19" i="18"/>
  <c r="A77" i="18"/>
  <c r="B77" i="18"/>
  <c r="C77" i="18"/>
  <c r="D77" i="18"/>
  <c r="E77" i="18"/>
  <c r="F19" i="18"/>
  <c r="F77" i="18"/>
  <c r="A20" i="18"/>
  <c r="A78" i="18"/>
  <c r="B78" i="18"/>
  <c r="C78" i="18"/>
  <c r="D78" i="18"/>
  <c r="E78" i="18"/>
  <c r="F20" i="18"/>
  <c r="F78" i="18"/>
  <c r="A21" i="18"/>
  <c r="A79" i="18"/>
  <c r="B79" i="18"/>
  <c r="C79" i="18"/>
  <c r="D79" i="18"/>
  <c r="E79" i="18"/>
  <c r="F21" i="18"/>
  <c r="F79" i="18"/>
  <c r="A22" i="18"/>
  <c r="A80" i="18"/>
  <c r="B80" i="18"/>
  <c r="C80" i="18"/>
  <c r="D80" i="18"/>
  <c r="E80" i="18"/>
  <c r="F22" i="18"/>
  <c r="F80" i="18"/>
  <c r="A23" i="18"/>
  <c r="A81" i="18"/>
  <c r="B81" i="18"/>
  <c r="C81" i="18"/>
  <c r="D81" i="18"/>
  <c r="E81" i="18"/>
  <c r="F23" i="18"/>
  <c r="F81" i="18"/>
  <c r="A24" i="18"/>
  <c r="A82" i="18"/>
  <c r="B82" i="18"/>
  <c r="C82" i="18"/>
  <c r="D82" i="18"/>
  <c r="E82" i="18"/>
  <c r="F24" i="18"/>
  <c r="F82" i="18"/>
  <c r="A25" i="18"/>
  <c r="A83" i="18"/>
  <c r="B83" i="18"/>
  <c r="C83" i="18"/>
  <c r="D83" i="18"/>
  <c r="E83" i="18"/>
  <c r="F25" i="18"/>
  <c r="F83" i="18"/>
  <c r="A26" i="18"/>
  <c r="A84" i="18"/>
  <c r="B84" i="18"/>
  <c r="C84" i="18"/>
  <c r="D84" i="18"/>
  <c r="E84" i="18"/>
  <c r="F26" i="18"/>
  <c r="F84" i="18"/>
  <c r="A27" i="18"/>
  <c r="A85" i="18"/>
  <c r="B85" i="18"/>
  <c r="C85" i="18"/>
  <c r="D85" i="18"/>
  <c r="E85" i="18"/>
  <c r="F27" i="18"/>
  <c r="F85" i="18"/>
  <c r="A28" i="18"/>
  <c r="A86" i="18"/>
  <c r="B86" i="18"/>
  <c r="C86" i="18"/>
  <c r="D86" i="18"/>
  <c r="E86" i="18"/>
  <c r="F28" i="18"/>
  <c r="F86" i="18"/>
  <c r="A29" i="18"/>
  <c r="A87" i="18"/>
  <c r="B87" i="18"/>
  <c r="C87" i="18"/>
  <c r="D87" i="18"/>
  <c r="E87" i="18"/>
  <c r="F29" i="18"/>
  <c r="F87" i="18"/>
  <c r="A30" i="18"/>
  <c r="A88" i="18"/>
  <c r="B88" i="18"/>
  <c r="C88" i="18"/>
  <c r="D88" i="18"/>
  <c r="E88" i="18"/>
  <c r="F30" i="18"/>
  <c r="F88" i="18"/>
  <c r="A31" i="18"/>
  <c r="A89" i="18"/>
  <c r="B89" i="18"/>
  <c r="C89" i="18"/>
  <c r="D89" i="18"/>
  <c r="E89" i="18"/>
  <c r="F31" i="18"/>
  <c r="F89" i="18"/>
  <c r="A32" i="18"/>
  <c r="A90" i="18"/>
  <c r="B90" i="18"/>
  <c r="C90" i="18"/>
  <c r="D32" i="18"/>
  <c r="D90" i="18"/>
  <c r="E90" i="18"/>
  <c r="F32" i="18"/>
  <c r="F90" i="18"/>
  <c r="A33" i="18"/>
  <c r="A91" i="18"/>
  <c r="B91" i="18"/>
  <c r="C91" i="18"/>
  <c r="D33" i="18"/>
  <c r="D91" i="18"/>
  <c r="E91" i="18"/>
  <c r="F33" i="18"/>
  <c r="F91" i="18"/>
  <c r="A34" i="18"/>
  <c r="A92" i="18"/>
  <c r="B92" i="18"/>
  <c r="C92" i="18"/>
  <c r="D34" i="18"/>
  <c r="D92" i="18"/>
  <c r="E92" i="18"/>
  <c r="F34" i="18"/>
  <c r="F92" i="18"/>
  <c r="A35" i="18"/>
  <c r="A93" i="18"/>
  <c r="B93" i="18"/>
  <c r="C93" i="18"/>
  <c r="D35" i="18"/>
  <c r="D93" i="18"/>
  <c r="E93" i="18"/>
  <c r="F35" i="18"/>
  <c r="F93" i="18"/>
  <c r="A36" i="18"/>
  <c r="A94" i="18"/>
  <c r="B94" i="18"/>
  <c r="C94" i="18"/>
  <c r="D36" i="18"/>
  <c r="D94" i="18"/>
  <c r="E94" i="18"/>
  <c r="F36" i="18"/>
  <c r="F94" i="18"/>
  <c r="A37" i="18"/>
  <c r="A95" i="18"/>
  <c r="B95" i="18"/>
  <c r="C95" i="18"/>
  <c r="D37" i="18"/>
  <c r="D95" i="18"/>
  <c r="E95" i="18"/>
  <c r="F37" i="18"/>
  <c r="F95" i="18"/>
  <c r="B64" i="18"/>
  <c r="C64" i="18"/>
  <c r="D6" i="18"/>
  <c r="D64" i="18"/>
  <c r="E64" i="18"/>
  <c r="F6" i="18"/>
  <c r="F64" i="18"/>
  <c r="A6" i="18"/>
  <c r="A64" i="18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W56" i="16"/>
  <c r="V56" i="16"/>
  <c r="U56" i="16"/>
  <c r="M56" i="16"/>
  <c r="L56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W55" i="16"/>
  <c r="V55" i="16"/>
  <c r="U55" i="16"/>
  <c r="M55" i="16"/>
  <c r="L55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W54" i="16"/>
  <c r="V54" i="16"/>
  <c r="U54" i="16"/>
  <c r="M54" i="16"/>
  <c r="L54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W53" i="16"/>
  <c r="V53" i="16"/>
  <c r="U53" i="16"/>
  <c r="M53" i="16"/>
  <c r="L53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W52" i="16"/>
  <c r="V52" i="16"/>
  <c r="U52" i="16"/>
  <c r="M52" i="16"/>
  <c r="L52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W51" i="16"/>
  <c r="V51" i="16"/>
  <c r="U51" i="16"/>
  <c r="M51" i="16"/>
  <c r="L51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W50" i="16"/>
  <c r="V50" i="16"/>
  <c r="U50" i="16"/>
  <c r="M50" i="16"/>
  <c r="L50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W49" i="16"/>
  <c r="V49" i="16"/>
  <c r="U49" i="16"/>
  <c r="M49" i="16"/>
  <c r="L49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W48" i="16"/>
  <c r="V48" i="16"/>
  <c r="U48" i="16"/>
  <c r="M48" i="16"/>
  <c r="L48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W47" i="16"/>
  <c r="V47" i="16"/>
  <c r="U47" i="16"/>
  <c r="M47" i="16"/>
  <c r="L47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W46" i="16"/>
  <c r="V46" i="16"/>
  <c r="U46" i="16"/>
  <c r="M46" i="16"/>
  <c r="L46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W45" i="16"/>
  <c r="V45" i="16"/>
  <c r="U45" i="16"/>
  <c r="M45" i="16"/>
  <c r="L45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W44" i="16"/>
  <c r="V44" i="16"/>
  <c r="U44" i="16"/>
  <c r="M44" i="16"/>
  <c r="L44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W43" i="16"/>
  <c r="V43" i="16"/>
  <c r="U43" i="16"/>
  <c r="M43" i="16"/>
  <c r="L43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W42" i="16"/>
  <c r="V42" i="16"/>
  <c r="U42" i="16"/>
  <c r="M42" i="16"/>
  <c r="L42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W41" i="16"/>
  <c r="V41" i="16"/>
  <c r="U41" i="16"/>
  <c r="M41" i="16"/>
  <c r="L41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W40" i="16"/>
  <c r="V40" i="16"/>
  <c r="U40" i="16"/>
  <c r="M40" i="16"/>
  <c r="L40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W39" i="16"/>
  <c r="V39" i="16"/>
  <c r="U39" i="16"/>
  <c r="M39" i="16"/>
  <c r="L39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W38" i="16"/>
  <c r="V38" i="16"/>
  <c r="U38" i="16"/>
  <c r="M38" i="16"/>
  <c r="L38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W37" i="16"/>
  <c r="V37" i="16"/>
  <c r="U37" i="16"/>
  <c r="M37" i="16"/>
  <c r="L37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W36" i="16"/>
  <c r="V36" i="16"/>
  <c r="U36" i="16"/>
  <c r="M36" i="16"/>
  <c r="L36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W35" i="16"/>
  <c r="V35" i="16"/>
  <c r="U35" i="16"/>
  <c r="M35" i="16"/>
  <c r="L35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W34" i="16"/>
  <c r="V34" i="16"/>
  <c r="U34" i="16"/>
  <c r="M34" i="16"/>
  <c r="L34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W33" i="16"/>
  <c r="V33" i="16"/>
  <c r="U33" i="16"/>
  <c r="M33" i="16"/>
  <c r="L33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W32" i="16"/>
  <c r="V32" i="16"/>
  <c r="U32" i="16"/>
  <c r="M32" i="16"/>
  <c r="L32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W31" i="16"/>
  <c r="V31" i="16"/>
  <c r="U31" i="16"/>
  <c r="M31" i="16"/>
  <c r="L31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W30" i="16"/>
  <c r="V30" i="16"/>
  <c r="U30" i="16"/>
  <c r="M30" i="16"/>
  <c r="L30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W29" i="16"/>
  <c r="V29" i="16"/>
  <c r="U29" i="16"/>
  <c r="M29" i="16"/>
  <c r="L29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W28" i="16"/>
  <c r="V28" i="16"/>
  <c r="U28" i="16"/>
  <c r="M28" i="16"/>
  <c r="L28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W27" i="16"/>
  <c r="V27" i="16"/>
  <c r="U27" i="16"/>
  <c r="M27" i="16"/>
  <c r="L27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W26" i="16"/>
  <c r="V26" i="16"/>
  <c r="U26" i="16"/>
  <c r="M26" i="16"/>
  <c r="L26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W25" i="16"/>
  <c r="V25" i="16"/>
  <c r="U25" i="16"/>
  <c r="M25" i="16"/>
  <c r="L25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W24" i="16"/>
  <c r="V24" i="16"/>
  <c r="U24" i="16"/>
  <c r="M24" i="16"/>
  <c r="L24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W23" i="16"/>
  <c r="V23" i="16"/>
  <c r="U23" i="16"/>
  <c r="M23" i="16"/>
  <c r="L23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W22" i="16"/>
  <c r="V22" i="16"/>
  <c r="U22" i="16"/>
  <c r="M22" i="16"/>
  <c r="L22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W21" i="16"/>
  <c r="V21" i="16"/>
  <c r="U21" i="16"/>
  <c r="M21" i="16"/>
  <c r="L21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W20" i="16"/>
  <c r="V20" i="16"/>
  <c r="U20" i="16"/>
  <c r="M20" i="16"/>
  <c r="L20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W19" i="16"/>
  <c r="V19" i="16"/>
  <c r="U19" i="16"/>
  <c r="M19" i="16"/>
  <c r="L19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W18" i="16"/>
  <c r="V18" i="16"/>
  <c r="U18" i="16"/>
  <c r="M18" i="16"/>
  <c r="L18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W17" i="16"/>
  <c r="V17" i="16"/>
  <c r="U17" i="16"/>
  <c r="M17" i="16"/>
  <c r="L17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W16" i="16"/>
  <c r="V16" i="16"/>
  <c r="U16" i="16"/>
  <c r="M16" i="16"/>
  <c r="L16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W15" i="16"/>
  <c r="V15" i="16"/>
  <c r="U15" i="16"/>
  <c r="M15" i="16"/>
  <c r="L15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W14" i="16"/>
  <c r="V14" i="16"/>
  <c r="U14" i="16"/>
  <c r="M14" i="16"/>
  <c r="L14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W13" i="16"/>
  <c r="V13" i="16"/>
  <c r="U13" i="16"/>
  <c r="M13" i="16"/>
  <c r="L13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W12" i="16"/>
  <c r="V12" i="16"/>
  <c r="U12" i="16"/>
  <c r="M12" i="16"/>
  <c r="L12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W11" i="16"/>
  <c r="V11" i="16"/>
  <c r="U11" i="16"/>
  <c r="M11" i="16"/>
  <c r="L11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W10" i="16"/>
  <c r="V10" i="16"/>
  <c r="U10" i="16"/>
  <c r="M10" i="16"/>
  <c r="L10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W9" i="16"/>
  <c r="V9" i="16"/>
  <c r="U9" i="16"/>
  <c r="M9" i="16"/>
  <c r="L9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W8" i="16"/>
  <c r="V8" i="16"/>
  <c r="U8" i="16"/>
  <c r="M8" i="16"/>
  <c r="L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W7" i="16"/>
  <c r="V7" i="16"/>
  <c r="U7" i="16"/>
  <c r="M7" i="16"/>
  <c r="L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W6" i="16"/>
  <c r="V6" i="16"/>
  <c r="U6" i="16"/>
  <c r="M6" i="16"/>
  <c r="L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W5" i="16"/>
  <c r="V5" i="16"/>
  <c r="U5" i="16"/>
  <c r="M5" i="16"/>
  <c r="L5" i="16"/>
  <c r="AV59" i="16"/>
  <c r="AU59" i="16"/>
  <c r="AT59" i="16"/>
  <c r="AS59" i="16"/>
  <c r="AR59" i="16"/>
  <c r="AQ59" i="16"/>
  <c r="AP59" i="16"/>
  <c r="AU56" i="16"/>
  <c r="AQ56" i="16"/>
  <c r="T56" i="16"/>
  <c r="AT56" i="16"/>
  <c r="AS56" i="16"/>
  <c r="N56" i="16"/>
  <c r="AP56" i="16"/>
  <c r="S56" i="16"/>
  <c r="Q56" i="16"/>
  <c r="O56" i="16"/>
  <c r="AT55" i="16"/>
  <c r="AS55" i="16"/>
  <c r="AP55" i="16"/>
  <c r="S55" i="16"/>
  <c r="O55" i="16"/>
  <c r="AU54" i="16"/>
  <c r="AQ54" i="16"/>
  <c r="T54" i="16"/>
  <c r="AT54" i="16"/>
  <c r="AS54" i="16"/>
  <c r="N54" i="16"/>
  <c r="AP54" i="16"/>
  <c r="Q54" i="16"/>
  <c r="O54" i="16"/>
  <c r="AT53" i="16"/>
  <c r="AS53" i="16"/>
  <c r="AP53" i="16"/>
  <c r="X53" i="16"/>
  <c r="S53" i="16"/>
  <c r="O53" i="16"/>
  <c r="AU52" i="16"/>
  <c r="AQ52" i="16"/>
  <c r="T52" i="16"/>
  <c r="AT52" i="16"/>
  <c r="AS52" i="16"/>
  <c r="N52" i="16"/>
  <c r="AP52" i="16"/>
  <c r="S52" i="16"/>
  <c r="Q52" i="16"/>
  <c r="O52" i="16"/>
  <c r="AT51" i="16"/>
  <c r="AS51" i="16"/>
  <c r="AP51" i="16"/>
  <c r="S51" i="16"/>
  <c r="O51" i="16"/>
  <c r="AU50" i="16"/>
  <c r="AQ50" i="16"/>
  <c r="T50" i="16"/>
  <c r="AT50" i="16"/>
  <c r="AS50" i="16"/>
  <c r="N50" i="16"/>
  <c r="AP50" i="16"/>
  <c r="Q50" i="16"/>
  <c r="O50" i="16"/>
  <c r="AS49" i="16"/>
  <c r="X49" i="16"/>
  <c r="AU48" i="16"/>
  <c r="AQ48" i="16"/>
  <c r="T48" i="16"/>
  <c r="AT48" i="16"/>
  <c r="AS48" i="16"/>
  <c r="N48" i="16"/>
  <c r="AP48" i="16"/>
  <c r="X48" i="16"/>
  <c r="S48" i="16"/>
  <c r="Q48" i="16"/>
  <c r="O48" i="16"/>
  <c r="AS47" i="16"/>
  <c r="AV47" i="16"/>
  <c r="P47" i="16"/>
  <c r="AT46" i="16"/>
  <c r="AQ46" i="16"/>
  <c r="AV46" i="16"/>
  <c r="O46" i="16"/>
  <c r="AS46" i="16"/>
  <c r="Q46" i="16"/>
  <c r="AP46" i="16"/>
  <c r="S46" i="16"/>
  <c r="P46" i="16"/>
  <c r="AT45" i="16"/>
  <c r="AV45" i="16"/>
  <c r="O45" i="16"/>
  <c r="AS45" i="16"/>
  <c r="AQ45" i="16"/>
  <c r="AP45" i="16"/>
  <c r="X45" i="16"/>
  <c r="S45" i="16"/>
  <c r="P45" i="16"/>
  <c r="AS44" i="16"/>
  <c r="AQ44" i="16"/>
  <c r="X44" i="16"/>
  <c r="AQ43" i="16"/>
  <c r="AS43" i="16"/>
  <c r="Q43" i="16"/>
  <c r="AT42" i="16"/>
  <c r="AV42" i="16"/>
  <c r="O42" i="16"/>
  <c r="AS42" i="16"/>
  <c r="AQ42" i="16"/>
  <c r="AP42" i="16"/>
  <c r="S42" i="16"/>
  <c r="P42" i="16"/>
  <c r="AT41" i="16"/>
  <c r="AV41" i="16"/>
  <c r="O41" i="16"/>
  <c r="AS41" i="16"/>
  <c r="AQ41" i="16"/>
  <c r="AP41" i="16"/>
  <c r="X41" i="16"/>
  <c r="S41" i="16"/>
  <c r="P41" i="16"/>
  <c r="AS40" i="16"/>
  <c r="AQ40" i="16"/>
  <c r="X40" i="16"/>
  <c r="AQ39" i="16"/>
  <c r="AV39" i="16"/>
  <c r="AS39" i="16"/>
  <c r="Q39" i="16"/>
  <c r="P39" i="16"/>
  <c r="AT38" i="16"/>
  <c r="AQ38" i="16"/>
  <c r="AV38" i="16"/>
  <c r="O38" i="16"/>
  <c r="AS38" i="16"/>
  <c r="Q38" i="16"/>
  <c r="AP38" i="16"/>
  <c r="S38" i="16"/>
  <c r="P38" i="16"/>
  <c r="AT37" i="16"/>
  <c r="AV37" i="16"/>
  <c r="O37" i="16"/>
  <c r="AS37" i="16"/>
  <c r="AQ37" i="16"/>
  <c r="AP37" i="16"/>
  <c r="X37" i="16"/>
  <c r="S37" i="16"/>
  <c r="P37" i="16"/>
  <c r="AV36" i="16"/>
  <c r="AU36" i="16"/>
  <c r="AS36" i="16"/>
  <c r="AQ36" i="16"/>
  <c r="AR35" i="16"/>
  <c r="R35" i="16"/>
  <c r="AQ35" i="16"/>
  <c r="Q35" i="16"/>
  <c r="P35" i="16"/>
  <c r="AQ34" i="16"/>
  <c r="AV34" i="16"/>
  <c r="X34" i="16"/>
  <c r="Q34" i="16"/>
  <c r="AR33" i="16"/>
  <c r="AV33" i="16"/>
  <c r="R33" i="16"/>
  <c r="AQ33" i="16"/>
  <c r="Q33" i="16"/>
  <c r="AV32" i="16"/>
  <c r="AQ32" i="16"/>
  <c r="P32" i="16"/>
  <c r="O32" i="16"/>
  <c r="AS32" i="16"/>
  <c r="X32" i="16"/>
  <c r="Q32" i="16"/>
  <c r="N32" i="16"/>
  <c r="AV31" i="16"/>
  <c r="AR31" i="16"/>
  <c r="P31" i="16"/>
  <c r="AS31" i="16"/>
  <c r="R31" i="16"/>
  <c r="N31" i="16"/>
  <c r="AR30" i="16"/>
  <c r="AP30" i="16"/>
  <c r="AU30" i="16"/>
  <c r="R30" i="16"/>
  <c r="AQ30" i="16"/>
  <c r="S30" i="16"/>
  <c r="X30" i="16"/>
  <c r="T30" i="16"/>
  <c r="Q30" i="16"/>
  <c r="N30" i="16"/>
  <c r="AU29" i="16"/>
  <c r="AR29" i="16"/>
  <c r="R29" i="16"/>
  <c r="AQ29" i="16"/>
  <c r="S29" i="16"/>
  <c r="X29" i="16"/>
  <c r="T29" i="16"/>
  <c r="Q29" i="16"/>
  <c r="N29" i="16"/>
  <c r="AR28" i="16"/>
  <c r="AP28" i="16"/>
  <c r="AU28" i="16"/>
  <c r="R28" i="16"/>
  <c r="AQ28" i="16"/>
  <c r="S28" i="16"/>
  <c r="X28" i="16"/>
  <c r="T28" i="16"/>
  <c r="Q28" i="16"/>
  <c r="N28" i="16"/>
  <c r="AU27" i="16"/>
  <c r="AR27" i="16"/>
  <c r="R27" i="16"/>
  <c r="AQ27" i="16"/>
  <c r="S27" i="16"/>
  <c r="X27" i="16"/>
  <c r="T27" i="16"/>
  <c r="Q27" i="16"/>
  <c r="N27" i="16"/>
  <c r="AR26" i="16"/>
  <c r="AP26" i="16"/>
  <c r="AU26" i="16"/>
  <c r="R26" i="16"/>
  <c r="AQ26" i="16"/>
  <c r="S26" i="16"/>
  <c r="X26" i="16"/>
  <c r="T26" i="16"/>
  <c r="Q26" i="16"/>
  <c r="N26" i="16"/>
  <c r="AU25" i="16"/>
  <c r="AR25" i="16"/>
  <c r="R25" i="16"/>
  <c r="AQ25" i="16"/>
  <c r="S25" i="16"/>
  <c r="X25" i="16"/>
  <c r="T25" i="16"/>
  <c r="Q25" i="16"/>
  <c r="N25" i="16"/>
  <c r="AR24" i="16"/>
  <c r="AP24" i="16"/>
  <c r="AU24" i="16"/>
  <c r="R24" i="16"/>
  <c r="AQ24" i="16"/>
  <c r="S24" i="16"/>
  <c r="X24" i="16"/>
  <c r="T24" i="16"/>
  <c r="Q24" i="16"/>
  <c r="N24" i="16"/>
  <c r="AU23" i="16"/>
  <c r="AR23" i="16"/>
  <c r="R23" i="16"/>
  <c r="AQ23" i="16"/>
  <c r="S23" i="16"/>
  <c r="X23" i="16"/>
  <c r="T23" i="16"/>
  <c r="Q23" i="16"/>
  <c r="N23" i="16"/>
  <c r="AR22" i="16"/>
  <c r="AP22" i="16"/>
  <c r="AU22" i="16"/>
  <c r="R22" i="16"/>
  <c r="AQ22" i="16"/>
  <c r="S22" i="16"/>
  <c r="X22" i="16"/>
  <c r="T22" i="16"/>
  <c r="Q22" i="16"/>
  <c r="N22" i="16"/>
  <c r="T21" i="16"/>
  <c r="AT21" i="16"/>
  <c r="AS21" i="16"/>
  <c r="AQ21" i="16"/>
  <c r="AP21" i="16"/>
  <c r="X21" i="16"/>
  <c r="S21" i="16"/>
  <c r="O21" i="16"/>
  <c r="AS20" i="16"/>
  <c r="AP20" i="16"/>
  <c r="AV20" i="16"/>
  <c r="AU20" i="16"/>
  <c r="AT20" i="16"/>
  <c r="N20" i="16"/>
  <c r="AQ20" i="16"/>
  <c r="X20" i="16"/>
  <c r="T20" i="16"/>
  <c r="S20" i="16"/>
  <c r="Q20" i="16"/>
  <c r="O20" i="16"/>
  <c r="AS19" i="16"/>
  <c r="AP19" i="16"/>
  <c r="AV19" i="16"/>
  <c r="AU19" i="16"/>
  <c r="AT19" i="16"/>
  <c r="N19" i="16"/>
  <c r="AQ19" i="16"/>
  <c r="X19" i="16"/>
  <c r="T19" i="16"/>
  <c r="S19" i="16"/>
  <c r="Q19" i="16"/>
  <c r="O19" i="16"/>
  <c r="AS18" i="16"/>
  <c r="AP18" i="16"/>
  <c r="AV18" i="16"/>
  <c r="AU18" i="16"/>
  <c r="AT18" i="16"/>
  <c r="N18" i="16"/>
  <c r="AQ18" i="16"/>
  <c r="X18" i="16"/>
  <c r="T18" i="16"/>
  <c r="S18" i="16"/>
  <c r="Q18" i="16"/>
  <c r="O18" i="16"/>
  <c r="AS17" i="16"/>
  <c r="AV17" i="16"/>
  <c r="T17" i="16"/>
  <c r="AT17" i="16"/>
  <c r="N17" i="16"/>
  <c r="AR17" i="16"/>
  <c r="AQ17" i="16"/>
  <c r="AP17" i="16"/>
  <c r="X17" i="16"/>
  <c r="S17" i="16"/>
  <c r="Q17" i="16"/>
  <c r="O17" i="16"/>
  <c r="AS16" i="16"/>
  <c r="P16" i="16"/>
  <c r="T16" i="16"/>
  <c r="AT16" i="16"/>
  <c r="N16" i="16"/>
  <c r="AR16" i="16"/>
  <c r="AQ16" i="16"/>
  <c r="AP16" i="16"/>
  <c r="X16" i="16"/>
  <c r="S16" i="16"/>
  <c r="Q16" i="16"/>
  <c r="O16" i="16"/>
  <c r="AS15" i="16"/>
  <c r="P15" i="16"/>
  <c r="T15" i="16"/>
  <c r="AT15" i="16"/>
  <c r="N15" i="16"/>
  <c r="AR15" i="16"/>
  <c r="AQ15" i="16"/>
  <c r="AP15" i="16"/>
  <c r="X15" i="16"/>
  <c r="S15" i="16"/>
  <c r="Q15" i="16"/>
  <c r="O15" i="16"/>
  <c r="AS14" i="16"/>
  <c r="P14" i="16"/>
  <c r="T14" i="16"/>
  <c r="AT14" i="16"/>
  <c r="N14" i="16"/>
  <c r="AR14" i="16"/>
  <c r="AQ14" i="16"/>
  <c r="AP14" i="16"/>
  <c r="X14" i="16"/>
  <c r="S14" i="16"/>
  <c r="Q14" i="16"/>
  <c r="O14" i="16"/>
  <c r="AS13" i="16"/>
  <c r="P13" i="16"/>
  <c r="T13" i="16"/>
  <c r="AT13" i="16"/>
  <c r="N13" i="16"/>
  <c r="AR13" i="16"/>
  <c r="AQ13" i="16"/>
  <c r="AP13" i="16"/>
  <c r="X13" i="16"/>
  <c r="S13" i="16"/>
  <c r="Q13" i="16"/>
  <c r="O13" i="16"/>
  <c r="AS12" i="16"/>
  <c r="P12" i="16"/>
  <c r="T12" i="16"/>
  <c r="AT12" i="16"/>
  <c r="N12" i="16"/>
  <c r="AR12" i="16"/>
  <c r="AQ12" i="16"/>
  <c r="AP12" i="16"/>
  <c r="X12" i="16"/>
  <c r="S12" i="16"/>
  <c r="Q12" i="16"/>
  <c r="O12" i="16"/>
  <c r="AS11" i="16"/>
  <c r="P11" i="16"/>
  <c r="T11" i="16"/>
  <c r="AT11" i="16"/>
  <c r="N11" i="16"/>
  <c r="AR11" i="16"/>
  <c r="AQ11" i="16"/>
  <c r="AP11" i="16"/>
  <c r="X11" i="16"/>
  <c r="S11" i="16"/>
  <c r="Q11" i="16"/>
  <c r="O11" i="16"/>
  <c r="AS10" i="16"/>
  <c r="P10" i="16"/>
  <c r="T10" i="16"/>
  <c r="AT10" i="16"/>
  <c r="N10" i="16"/>
  <c r="AR10" i="16"/>
  <c r="AQ10" i="16"/>
  <c r="AP10" i="16"/>
  <c r="X10" i="16"/>
  <c r="S10" i="16"/>
  <c r="Q10" i="16"/>
  <c r="O10" i="16"/>
  <c r="AS9" i="16"/>
  <c r="P9" i="16"/>
  <c r="T9" i="16"/>
  <c r="AT9" i="16"/>
  <c r="N9" i="16"/>
  <c r="AR9" i="16"/>
  <c r="AQ9" i="16"/>
  <c r="AP9" i="16"/>
  <c r="X9" i="16"/>
  <c r="S9" i="16"/>
  <c r="Q9" i="16"/>
  <c r="O9" i="16"/>
  <c r="AS8" i="16"/>
  <c r="P8" i="16"/>
  <c r="T8" i="16"/>
  <c r="AT8" i="16"/>
  <c r="N8" i="16"/>
  <c r="AR8" i="16"/>
  <c r="AQ8" i="16"/>
  <c r="AP8" i="16"/>
  <c r="X8" i="16"/>
  <c r="S8" i="16"/>
  <c r="Q8" i="16"/>
  <c r="O8" i="16"/>
  <c r="AS7" i="16"/>
  <c r="P7" i="16"/>
  <c r="T7" i="16"/>
  <c r="AT7" i="16"/>
  <c r="N7" i="16"/>
  <c r="AR7" i="16"/>
  <c r="AQ7" i="16"/>
  <c r="AP7" i="16"/>
  <c r="X7" i="16"/>
  <c r="S7" i="16"/>
  <c r="Q7" i="16"/>
  <c r="O7" i="16"/>
  <c r="AS6" i="16"/>
  <c r="P6" i="16"/>
  <c r="T6" i="16"/>
  <c r="AT6" i="16"/>
  <c r="N6" i="16"/>
  <c r="AR6" i="16"/>
  <c r="AQ6" i="16"/>
  <c r="AP6" i="16"/>
  <c r="X6" i="16"/>
  <c r="S6" i="16"/>
  <c r="Q6" i="16"/>
  <c r="O6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S5" i="16"/>
  <c r="P5" i="16"/>
  <c r="T5" i="16"/>
  <c r="AT5" i="16"/>
  <c r="N5" i="16"/>
  <c r="AR5" i="16"/>
  <c r="AQ5" i="16"/>
  <c r="AP5" i="16"/>
  <c r="X5" i="16"/>
  <c r="S5" i="16"/>
  <c r="Q5" i="16"/>
  <c r="O5" i="16"/>
  <c r="T1" i="16"/>
  <c r="S1" i="16"/>
  <c r="R1" i="16"/>
  <c r="Q1" i="16"/>
  <c r="P1" i="16"/>
  <c r="O1" i="16"/>
  <c r="N1" i="16"/>
  <c r="AU5" i="16"/>
  <c r="AU6" i="16"/>
  <c r="AU7" i="16"/>
  <c r="AU8" i="16"/>
  <c r="AU9" i="16"/>
  <c r="AU10" i="16"/>
  <c r="AU11" i="16"/>
  <c r="AU12" i="16"/>
  <c r="AU13" i="16"/>
  <c r="AU14" i="16"/>
  <c r="AU15" i="16"/>
  <c r="AU16" i="16"/>
  <c r="AU17" i="16"/>
  <c r="AR21" i="16"/>
  <c r="R21" i="16"/>
  <c r="P21" i="16"/>
  <c r="AV21" i="16"/>
  <c r="X36" i="16"/>
  <c r="AP36" i="16"/>
  <c r="S36" i="16"/>
  <c r="AR36" i="16"/>
  <c r="R36" i="16"/>
  <c r="AT36" i="16"/>
  <c r="O36" i="16"/>
  <c r="AP43" i="16"/>
  <c r="S43" i="16"/>
  <c r="AR43" i="16"/>
  <c r="R43" i="16"/>
  <c r="O43" i="16"/>
  <c r="AT43" i="16"/>
  <c r="AV43" i="16"/>
  <c r="P43" i="16"/>
  <c r="AP44" i="16"/>
  <c r="S44" i="16"/>
  <c r="AR44" i="16"/>
  <c r="R44" i="16"/>
  <c r="O44" i="16"/>
  <c r="AT44" i="16"/>
  <c r="AV44" i="16"/>
  <c r="P44" i="16"/>
  <c r="AQ53" i="16"/>
  <c r="Q53" i="16"/>
  <c r="T53" i="16"/>
  <c r="AU53" i="16"/>
  <c r="R5" i="16"/>
  <c r="Z5" i="16"/>
  <c r="AV5" i="16"/>
  <c r="R6" i="16"/>
  <c r="Z6" i="16"/>
  <c r="AV6" i="16"/>
  <c r="R7" i="16"/>
  <c r="Z7" i="16"/>
  <c r="AV7" i="16"/>
  <c r="R8" i="16"/>
  <c r="Z8" i="16"/>
  <c r="AV8" i="16"/>
  <c r="R9" i="16"/>
  <c r="Z9" i="16"/>
  <c r="AV9" i="16"/>
  <c r="R10" i="16"/>
  <c r="Z10" i="16"/>
  <c r="AV10" i="16"/>
  <c r="R11" i="16"/>
  <c r="Z11" i="16"/>
  <c r="AV11" i="16"/>
  <c r="R12" i="16"/>
  <c r="Z12" i="16"/>
  <c r="AV12" i="16"/>
  <c r="R13" i="16"/>
  <c r="Z13" i="16"/>
  <c r="AV13" i="16"/>
  <c r="R14" i="16"/>
  <c r="Z14" i="16"/>
  <c r="AV14" i="16"/>
  <c r="R15" i="16"/>
  <c r="Z15" i="16"/>
  <c r="AV15" i="16"/>
  <c r="R16" i="16"/>
  <c r="Z16" i="16"/>
  <c r="AV16" i="16"/>
  <c r="R17" i="16"/>
  <c r="P18" i="16"/>
  <c r="P19" i="16"/>
  <c r="Z19" i="16"/>
  <c r="P20" i="16"/>
  <c r="Q21" i="16"/>
  <c r="N21" i="16"/>
  <c r="O22" i="16"/>
  <c r="Z22" i="16"/>
  <c r="AT22" i="16"/>
  <c r="AV22" i="16"/>
  <c r="P22" i="16"/>
  <c r="AP23" i="16"/>
  <c r="O24" i="16"/>
  <c r="AT24" i="16"/>
  <c r="AV24" i="16"/>
  <c r="P24" i="16"/>
  <c r="Z24" i="16"/>
  <c r="AP25" i="16"/>
  <c r="O26" i="16"/>
  <c r="Z26" i="16"/>
  <c r="AT26" i="16"/>
  <c r="AV26" i="16"/>
  <c r="P26" i="16"/>
  <c r="AP27" i="16"/>
  <c r="O28" i="16"/>
  <c r="AT28" i="16"/>
  <c r="AV28" i="16"/>
  <c r="P28" i="16"/>
  <c r="Z28" i="16"/>
  <c r="AP29" i="16"/>
  <c r="O30" i="16"/>
  <c r="Z30" i="16"/>
  <c r="AT30" i="16"/>
  <c r="AV30" i="16"/>
  <c r="P30" i="16"/>
  <c r="AQ31" i="16"/>
  <c r="Q31" i="16"/>
  <c r="T31" i="16"/>
  <c r="AU31" i="16"/>
  <c r="AP32" i="16"/>
  <c r="S32" i="16"/>
  <c r="AR32" i="16"/>
  <c r="R32" i="16"/>
  <c r="P34" i="16"/>
  <c r="AS35" i="16"/>
  <c r="N35" i="16"/>
  <c r="AU35" i="16"/>
  <c r="T35" i="16"/>
  <c r="AP49" i="16"/>
  <c r="S49" i="16"/>
  <c r="AR49" i="16"/>
  <c r="R49" i="16"/>
  <c r="AT49" i="16"/>
  <c r="O49" i="16"/>
  <c r="P49" i="16"/>
  <c r="AV49" i="16"/>
  <c r="AQ51" i="16"/>
  <c r="Q51" i="16"/>
  <c r="T51" i="16"/>
  <c r="AU51" i="16"/>
  <c r="S34" i="16"/>
  <c r="AP34" i="16"/>
  <c r="R34" i="16"/>
  <c r="AR34" i="16"/>
  <c r="O34" i="16"/>
  <c r="AT34" i="16"/>
  <c r="AU41" i="16"/>
  <c r="T41" i="16"/>
  <c r="AU42" i="16"/>
  <c r="T42" i="16"/>
  <c r="P17" i="16"/>
  <c r="Z17" i="16"/>
  <c r="AR18" i="16"/>
  <c r="R18" i="16"/>
  <c r="Z18" i="16"/>
  <c r="AR19" i="16"/>
  <c r="R19" i="16"/>
  <c r="AR20" i="16"/>
  <c r="R20" i="16"/>
  <c r="Z20" i="16"/>
  <c r="AU21" i="16"/>
  <c r="O23" i="16"/>
  <c r="AT23" i="16"/>
  <c r="AV23" i="16"/>
  <c r="P23" i="16"/>
  <c r="O25" i="16"/>
  <c r="AT25" i="16"/>
  <c r="AV25" i="16"/>
  <c r="P25" i="16"/>
  <c r="O27" i="16"/>
  <c r="AT27" i="16"/>
  <c r="AV27" i="16"/>
  <c r="P27" i="16"/>
  <c r="Z27" i="16"/>
  <c r="O29" i="16"/>
  <c r="AT29" i="16"/>
  <c r="AV29" i="16"/>
  <c r="P29" i="16"/>
  <c r="Z29" i="16"/>
  <c r="AS33" i="16"/>
  <c r="N33" i="16"/>
  <c r="AU33" i="16"/>
  <c r="T33" i="16"/>
  <c r="P36" i="16"/>
  <c r="AS22" i="16"/>
  <c r="AS23" i="16"/>
  <c r="AS24" i="16"/>
  <c r="AS25" i="16"/>
  <c r="AS26" i="16"/>
  <c r="AS27" i="16"/>
  <c r="AS28" i="16"/>
  <c r="AS29" i="16"/>
  <c r="AS30" i="16"/>
  <c r="AU32" i="16"/>
  <c r="T32" i="16"/>
  <c r="P33" i="16"/>
  <c r="X35" i="16"/>
  <c r="S35" i="16"/>
  <c r="AP35" i="16"/>
  <c r="O35" i="16"/>
  <c r="AT35" i="16"/>
  <c r="AU45" i="16"/>
  <c r="T45" i="16"/>
  <c r="AU46" i="16"/>
  <c r="T46" i="16"/>
  <c r="AP47" i="16"/>
  <c r="S47" i="16"/>
  <c r="AR47" i="16"/>
  <c r="R47" i="16"/>
  <c r="AT47" i="16"/>
  <c r="O47" i="16"/>
  <c r="AQ55" i="16"/>
  <c r="Q55" i="16"/>
  <c r="T55" i="16"/>
  <c r="AU55" i="16"/>
  <c r="X31" i="16"/>
  <c r="AP31" i="16"/>
  <c r="S31" i="16"/>
  <c r="AT31" i="16"/>
  <c r="O31" i="16"/>
  <c r="AT32" i="16"/>
  <c r="X33" i="16"/>
  <c r="S33" i="16"/>
  <c r="AP33" i="16"/>
  <c r="O33" i="16"/>
  <c r="AT33" i="16"/>
  <c r="AS34" i="16"/>
  <c r="N34" i="16"/>
  <c r="AU34" i="16"/>
  <c r="T34" i="16"/>
  <c r="AU37" i="16"/>
  <c r="T37" i="16"/>
  <c r="AU38" i="16"/>
  <c r="T38" i="16"/>
  <c r="AP39" i="16"/>
  <c r="S39" i="16"/>
  <c r="AR39" i="16"/>
  <c r="R39" i="16"/>
  <c r="O39" i="16"/>
  <c r="AT39" i="16"/>
  <c r="AP40" i="16"/>
  <c r="S40" i="16"/>
  <c r="AR40" i="16"/>
  <c r="R40" i="16"/>
  <c r="O40" i="16"/>
  <c r="AT40" i="16"/>
  <c r="AV40" i="16"/>
  <c r="P40" i="16"/>
  <c r="Q42" i="16"/>
  <c r="T36" i="16"/>
  <c r="Q36" i="16"/>
  <c r="AR37" i="16"/>
  <c r="R37" i="16"/>
  <c r="X38" i="16"/>
  <c r="AU39" i="16"/>
  <c r="T39" i="16"/>
  <c r="Q40" i="16"/>
  <c r="AR41" i="16"/>
  <c r="R41" i="16"/>
  <c r="X42" i="16"/>
  <c r="AU43" i="16"/>
  <c r="T43" i="16"/>
  <c r="Q44" i="16"/>
  <c r="AR45" i="16"/>
  <c r="R45" i="16"/>
  <c r="X46" i="16"/>
  <c r="AQ47" i="16"/>
  <c r="Q47" i="16"/>
  <c r="T47" i="16"/>
  <c r="AU47" i="16"/>
  <c r="AQ49" i="16"/>
  <c r="Q49" i="16"/>
  <c r="T49" i="16"/>
  <c r="AU49" i="16"/>
  <c r="X54" i="16"/>
  <c r="AR55" i="16"/>
  <c r="R55" i="16"/>
  <c r="P55" i="16"/>
  <c r="AV55" i="16"/>
  <c r="X56" i="16"/>
  <c r="Q37" i="16"/>
  <c r="AR38" i="16"/>
  <c r="R38" i="16"/>
  <c r="X39" i="16"/>
  <c r="AU40" i="16"/>
  <c r="T40" i="16"/>
  <c r="Q41" i="16"/>
  <c r="AR42" i="16"/>
  <c r="R42" i="16"/>
  <c r="X43" i="16"/>
  <c r="AU44" i="16"/>
  <c r="T44" i="16"/>
  <c r="Q45" i="16"/>
  <c r="AR46" i="16"/>
  <c r="R46" i="16"/>
  <c r="X47" i="16"/>
  <c r="X50" i="16"/>
  <c r="AR51" i="16"/>
  <c r="R51" i="16"/>
  <c r="P51" i="16"/>
  <c r="AV51" i="16"/>
  <c r="X52" i="16"/>
  <c r="AR53" i="16"/>
  <c r="R53" i="16"/>
  <c r="P53" i="16"/>
  <c r="AV53" i="16"/>
  <c r="AV35" i="16"/>
  <c r="AR48" i="16"/>
  <c r="R48" i="16"/>
  <c r="Z48" i="16"/>
  <c r="P48" i="16"/>
  <c r="AV48" i="16"/>
  <c r="N49" i="16"/>
  <c r="S50" i="16"/>
  <c r="X51" i="16"/>
  <c r="AR52" i="16"/>
  <c r="R52" i="16"/>
  <c r="P52" i="16"/>
  <c r="Z52" i="16"/>
  <c r="AV52" i="16"/>
  <c r="N53" i="16"/>
  <c r="S54" i="16"/>
  <c r="X55" i="16"/>
  <c r="AR56" i="16"/>
  <c r="R56" i="16"/>
  <c r="Z56" i="16"/>
  <c r="P56" i="16"/>
  <c r="AV56" i="16"/>
  <c r="N36" i="16"/>
  <c r="N37" i="16"/>
  <c r="N38" i="16"/>
  <c r="N39" i="16"/>
  <c r="N40" i="16"/>
  <c r="N41" i="16"/>
  <c r="N42" i="16"/>
  <c r="N43" i="16"/>
  <c r="Z43" i="16"/>
  <c r="N44" i="16"/>
  <c r="Z44" i="16"/>
  <c r="N45" i="16"/>
  <c r="N46" i="16"/>
  <c r="N47" i="16"/>
  <c r="AR50" i="16"/>
  <c r="R50" i="16"/>
  <c r="P50" i="16"/>
  <c r="AV50" i="16"/>
  <c r="N51" i="16"/>
  <c r="AR54" i="16"/>
  <c r="R54" i="16"/>
  <c r="P54" i="16"/>
  <c r="Z54" i="16"/>
  <c r="AV54" i="16"/>
  <c r="N55" i="16"/>
  <c r="AN56" i="15"/>
  <c r="AM56" i="15"/>
  <c r="AL56" i="15"/>
  <c r="AU56" i="15"/>
  <c r="AK56" i="15"/>
  <c r="AJ56" i="15"/>
  <c r="AI56" i="15"/>
  <c r="AH56" i="15"/>
  <c r="N56" i="15"/>
  <c r="AG56" i="15"/>
  <c r="AF56" i="15"/>
  <c r="AE56" i="15"/>
  <c r="AD56" i="15"/>
  <c r="Q56" i="15"/>
  <c r="AC56" i="15"/>
  <c r="AB56" i="15"/>
  <c r="AA56" i="15"/>
  <c r="W56" i="15"/>
  <c r="X56" i="15"/>
  <c r="V56" i="15"/>
  <c r="U56" i="15"/>
  <c r="M56" i="15"/>
  <c r="L56" i="15"/>
  <c r="AN55" i="15"/>
  <c r="AM55" i="15"/>
  <c r="AL55" i="15"/>
  <c r="AK55" i="15"/>
  <c r="T55" i="15"/>
  <c r="AJ55" i="15"/>
  <c r="AI55" i="15"/>
  <c r="AH55" i="15"/>
  <c r="AG55" i="15"/>
  <c r="AF55" i="15"/>
  <c r="AE55" i="15"/>
  <c r="AD55" i="15"/>
  <c r="AC55" i="15"/>
  <c r="AB55" i="15"/>
  <c r="AA55" i="15"/>
  <c r="W55" i="15"/>
  <c r="V55" i="15"/>
  <c r="X55" i="15"/>
  <c r="U55" i="15"/>
  <c r="M55" i="15"/>
  <c r="L55" i="15"/>
  <c r="AN54" i="15"/>
  <c r="AV54" i="15"/>
  <c r="AM54" i="15"/>
  <c r="AL54" i="15"/>
  <c r="AK54" i="15"/>
  <c r="AJ54" i="15"/>
  <c r="AT54" i="15"/>
  <c r="AI54" i="15"/>
  <c r="AH54" i="15"/>
  <c r="AG54" i="15"/>
  <c r="AF54" i="15"/>
  <c r="AE54" i="15"/>
  <c r="AD54" i="15"/>
  <c r="AC54" i="15"/>
  <c r="AB54" i="15"/>
  <c r="AP54" i="15"/>
  <c r="AA54" i="15"/>
  <c r="W54" i="15"/>
  <c r="V54" i="15"/>
  <c r="U54" i="15"/>
  <c r="X54" i="15"/>
  <c r="M54" i="15"/>
  <c r="L54" i="15"/>
  <c r="AN53" i="15"/>
  <c r="AM53" i="15"/>
  <c r="P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W53" i="15"/>
  <c r="V53" i="15"/>
  <c r="U53" i="15"/>
  <c r="M53" i="15"/>
  <c r="L53" i="15"/>
  <c r="AN52" i="15"/>
  <c r="AM52" i="15"/>
  <c r="AL52" i="15"/>
  <c r="AK52" i="15"/>
  <c r="AJ52" i="15"/>
  <c r="AI52" i="15"/>
  <c r="AH52" i="15"/>
  <c r="AG52" i="15"/>
  <c r="AF52" i="15"/>
  <c r="AE52" i="15"/>
  <c r="AD52" i="15"/>
  <c r="AC52" i="15"/>
  <c r="AB52" i="15"/>
  <c r="AA52" i="15"/>
  <c r="W52" i="15"/>
  <c r="X52" i="15"/>
  <c r="V52" i="15"/>
  <c r="U52" i="15"/>
  <c r="M52" i="15"/>
  <c r="L52" i="15"/>
  <c r="AN51" i="15"/>
  <c r="AM51" i="15"/>
  <c r="AL51" i="15"/>
  <c r="AK51" i="15"/>
  <c r="AJ51" i="15"/>
  <c r="AI51" i="15"/>
  <c r="AH51" i="15"/>
  <c r="AG51" i="15"/>
  <c r="N51" i="15"/>
  <c r="AF51" i="15"/>
  <c r="AE51" i="15"/>
  <c r="AD51" i="15"/>
  <c r="AC51" i="15"/>
  <c r="Q51" i="15"/>
  <c r="AB51" i="15"/>
  <c r="AA51" i="15"/>
  <c r="W51" i="15"/>
  <c r="V51" i="15"/>
  <c r="X51" i="15"/>
  <c r="U51" i="15"/>
  <c r="M51" i="15"/>
  <c r="L51" i="15"/>
  <c r="AN50" i="15"/>
  <c r="AM50" i="15"/>
  <c r="AL50" i="15"/>
  <c r="AK50" i="15"/>
  <c r="AJ50" i="15"/>
  <c r="AI50" i="15"/>
  <c r="AH50" i="15"/>
  <c r="AG50" i="15"/>
  <c r="AF50" i="15"/>
  <c r="AE50" i="15"/>
  <c r="AD50" i="15"/>
  <c r="AC50" i="15"/>
  <c r="AB50" i="15"/>
  <c r="S50" i="15"/>
  <c r="AA50" i="15"/>
  <c r="W50" i="15"/>
  <c r="V50" i="15"/>
  <c r="U50" i="15"/>
  <c r="X50" i="15"/>
  <c r="M50" i="15"/>
  <c r="L50" i="15"/>
  <c r="AN49" i="15"/>
  <c r="AM49" i="15"/>
  <c r="AV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AP49" i="15"/>
  <c r="W49" i="15"/>
  <c r="V49" i="15"/>
  <c r="U49" i="15"/>
  <c r="M49" i="15"/>
  <c r="L49" i="15"/>
  <c r="AN48" i="15"/>
  <c r="AM48" i="15"/>
  <c r="AL48" i="15"/>
  <c r="AU48" i="15"/>
  <c r="AK48" i="15"/>
  <c r="AJ48" i="15"/>
  <c r="AI48" i="15"/>
  <c r="AH48" i="15"/>
  <c r="N48" i="15"/>
  <c r="AG48" i="15"/>
  <c r="AF48" i="15"/>
  <c r="AE48" i="15"/>
  <c r="AD48" i="15"/>
  <c r="Q48" i="15"/>
  <c r="AC48" i="15"/>
  <c r="AB48" i="15"/>
  <c r="AA48" i="15"/>
  <c r="W48" i="15"/>
  <c r="X48" i="15"/>
  <c r="V48" i="15"/>
  <c r="U48" i="15"/>
  <c r="M48" i="15"/>
  <c r="L48" i="15"/>
  <c r="AN47" i="15"/>
  <c r="AM47" i="15"/>
  <c r="AL47" i="15"/>
  <c r="AK47" i="15"/>
  <c r="T47" i="15"/>
  <c r="AJ47" i="15"/>
  <c r="AI47" i="15"/>
  <c r="AH47" i="15"/>
  <c r="AG47" i="15"/>
  <c r="AF47" i="15"/>
  <c r="AE47" i="15"/>
  <c r="AD47" i="15"/>
  <c r="AC47" i="15"/>
  <c r="AB47" i="15"/>
  <c r="AA47" i="15"/>
  <c r="W47" i="15"/>
  <c r="V47" i="15"/>
  <c r="X47" i="15"/>
  <c r="U47" i="15"/>
  <c r="M47" i="15"/>
  <c r="L47" i="15"/>
  <c r="AN46" i="15"/>
  <c r="AV46" i="15"/>
  <c r="AM46" i="15"/>
  <c r="AL46" i="15"/>
  <c r="AK46" i="15"/>
  <c r="AJ46" i="15"/>
  <c r="AT46" i="15"/>
  <c r="AI46" i="15"/>
  <c r="AH46" i="15"/>
  <c r="AG46" i="15"/>
  <c r="AF46" i="15"/>
  <c r="AE46" i="15"/>
  <c r="AD46" i="15"/>
  <c r="AC46" i="15"/>
  <c r="AB46" i="15"/>
  <c r="AP46" i="15"/>
  <c r="AA46" i="15"/>
  <c r="W46" i="15"/>
  <c r="V46" i="15"/>
  <c r="U46" i="15"/>
  <c r="X46" i="15"/>
  <c r="M46" i="15"/>
  <c r="L46" i="15"/>
  <c r="AN45" i="15"/>
  <c r="AM45" i="15"/>
  <c r="P45" i="15"/>
  <c r="AL45" i="15"/>
  <c r="AK45" i="15"/>
  <c r="AJ45" i="15"/>
  <c r="AI45" i="15"/>
  <c r="AH45" i="15"/>
  <c r="AG45" i="15"/>
  <c r="AF45" i="15"/>
  <c r="AE45" i="15"/>
  <c r="AD45" i="15"/>
  <c r="AC45" i="15"/>
  <c r="AB45" i="15"/>
  <c r="AA45" i="15"/>
  <c r="W45" i="15"/>
  <c r="V45" i="15"/>
  <c r="U45" i="15"/>
  <c r="M45" i="15"/>
  <c r="L45" i="15"/>
  <c r="AN44" i="15"/>
  <c r="AM44" i="15"/>
  <c r="AL44" i="15"/>
  <c r="AK44" i="15"/>
  <c r="AJ44" i="15"/>
  <c r="AI44" i="15"/>
  <c r="AH44" i="15"/>
  <c r="AG44" i="15"/>
  <c r="AF44" i="15"/>
  <c r="AE44" i="15"/>
  <c r="AD44" i="15"/>
  <c r="AC44" i="15"/>
  <c r="AB44" i="15"/>
  <c r="AA44" i="15"/>
  <c r="W44" i="15"/>
  <c r="X44" i="15"/>
  <c r="V44" i="15"/>
  <c r="U44" i="15"/>
  <c r="M44" i="15"/>
  <c r="L44" i="15"/>
  <c r="AN43" i="15"/>
  <c r="AM43" i="15"/>
  <c r="AL43" i="15"/>
  <c r="AK43" i="15"/>
  <c r="AJ43" i="15"/>
  <c r="AI43" i="15"/>
  <c r="AH43" i="15"/>
  <c r="AG43" i="15"/>
  <c r="N43" i="15"/>
  <c r="AF43" i="15"/>
  <c r="AE43" i="15"/>
  <c r="AD43" i="15"/>
  <c r="AC43" i="15"/>
  <c r="Q43" i="15"/>
  <c r="AB43" i="15"/>
  <c r="AA43" i="15"/>
  <c r="W43" i="15"/>
  <c r="V43" i="15"/>
  <c r="X43" i="15"/>
  <c r="U43" i="15"/>
  <c r="M43" i="15"/>
  <c r="L43" i="15"/>
  <c r="AN42" i="15"/>
  <c r="AM42" i="15"/>
  <c r="AL42" i="15"/>
  <c r="AK42" i="15"/>
  <c r="AJ42" i="15"/>
  <c r="AI42" i="15"/>
  <c r="AH42" i="15"/>
  <c r="AG42" i="15"/>
  <c r="AF42" i="15"/>
  <c r="AE42" i="15"/>
  <c r="AD42" i="15"/>
  <c r="AC42" i="15"/>
  <c r="AB42" i="15"/>
  <c r="S42" i="15"/>
  <c r="AA42" i="15"/>
  <c r="W42" i="15"/>
  <c r="V42" i="15"/>
  <c r="U42" i="15"/>
  <c r="X42" i="15"/>
  <c r="M42" i="15"/>
  <c r="L42" i="15"/>
  <c r="AN41" i="15"/>
  <c r="AM41" i="15"/>
  <c r="AV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AP41" i="15"/>
  <c r="W41" i="15"/>
  <c r="V41" i="15"/>
  <c r="U41" i="15"/>
  <c r="M41" i="15"/>
  <c r="L41" i="15"/>
  <c r="AN40" i="15"/>
  <c r="AM40" i="15"/>
  <c r="AL40" i="15"/>
  <c r="AU40" i="15"/>
  <c r="AK40" i="15"/>
  <c r="AJ40" i="15"/>
  <c r="AI40" i="15"/>
  <c r="AH40" i="15"/>
  <c r="N40" i="15"/>
  <c r="AG40" i="15"/>
  <c r="AF40" i="15"/>
  <c r="AE40" i="15"/>
  <c r="AD40" i="15"/>
  <c r="Q40" i="15"/>
  <c r="AC40" i="15"/>
  <c r="AB40" i="15"/>
  <c r="AA40" i="15"/>
  <c r="W40" i="15"/>
  <c r="X40" i="15"/>
  <c r="V40" i="15"/>
  <c r="U40" i="15"/>
  <c r="M40" i="15"/>
  <c r="L40" i="15"/>
  <c r="AN39" i="15"/>
  <c r="AM39" i="15"/>
  <c r="AL39" i="15"/>
  <c r="AK39" i="15"/>
  <c r="T39" i="15"/>
  <c r="AJ39" i="15"/>
  <c r="AI39" i="15"/>
  <c r="AH39" i="15"/>
  <c r="AG39" i="15"/>
  <c r="AF39" i="15"/>
  <c r="AE39" i="15"/>
  <c r="AD39" i="15"/>
  <c r="AC39" i="15"/>
  <c r="AB39" i="15"/>
  <c r="AA39" i="15"/>
  <c r="W39" i="15"/>
  <c r="V39" i="15"/>
  <c r="X39" i="15"/>
  <c r="U39" i="15"/>
  <c r="M39" i="15"/>
  <c r="L39" i="15"/>
  <c r="AN38" i="15"/>
  <c r="AM38" i="15"/>
  <c r="AL38" i="15"/>
  <c r="AK38" i="15"/>
  <c r="AJ38" i="15"/>
  <c r="AT38" i="15"/>
  <c r="AI38" i="15"/>
  <c r="AH38" i="15"/>
  <c r="AG38" i="15"/>
  <c r="AF38" i="15"/>
  <c r="AE38" i="15"/>
  <c r="AD38" i="15"/>
  <c r="AC38" i="15"/>
  <c r="AB38" i="15"/>
  <c r="AA38" i="15"/>
  <c r="W38" i="15"/>
  <c r="V38" i="15"/>
  <c r="U38" i="15"/>
  <c r="M38" i="15"/>
  <c r="L38" i="15"/>
  <c r="AN37" i="15"/>
  <c r="AM37" i="15"/>
  <c r="P37" i="15"/>
  <c r="AL37" i="15"/>
  <c r="AK37" i="15"/>
  <c r="AJ37" i="15"/>
  <c r="AI37" i="15"/>
  <c r="AH37" i="15"/>
  <c r="AG37" i="15"/>
  <c r="AF37" i="15"/>
  <c r="AE37" i="15"/>
  <c r="AR37" i="15"/>
  <c r="AD37" i="15"/>
  <c r="AC37" i="15"/>
  <c r="AB37" i="15"/>
  <c r="AA37" i="15"/>
  <c r="W37" i="15"/>
  <c r="V37" i="15"/>
  <c r="U37" i="15"/>
  <c r="M37" i="15"/>
  <c r="L37" i="15"/>
  <c r="AN36" i="15"/>
  <c r="AM36" i="15"/>
  <c r="AL36" i="15"/>
  <c r="AK36" i="15"/>
  <c r="AJ36" i="15"/>
  <c r="AI36" i="15"/>
  <c r="AH36" i="15"/>
  <c r="AG36" i="15"/>
  <c r="AF36" i="15"/>
  <c r="AE36" i="15"/>
  <c r="AD36" i="15"/>
  <c r="AC36" i="15"/>
  <c r="AB36" i="15"/>
  <c r="AA36" i="15"/>
  <c r="W36" i="15"/>
  <c r="X36" i="15"/>
  <c r="V36" i="15"/>
  <c r="U36" i="15"/>
  <c r="M36" i="15"/>
  <c r="L36" i="15"/>
  <c r="AN35" i="15"/>
  <c r="AM35" i="15"/>
  <c r="AL35" i="15"/>
  <c r="AK35" i="15"/>
  <c r="AJ35" i="15"/>
  <c r="AI35" i="15"/>
  <c r="AH35" i="15"/>
  <c r="AG35" i="15"/>
  <c r="AF35" i="15"/>
  <c r="AE35" i="15"/>
  <c r="AD35" i="15"/>
  <c r="AC35" i="15"/>
  <c r="Q35" i="15"/>
  <c r="AB35" i="15"/>
  <c r="AA35" i="15"/>
  <c r="W35" i="15"/>
  <c r="V35" i="15"/>
  <c r="X35" i="15"/>
  <c r="U35" i="15"/>
  <c r="M35" i="15"/>
  <c r="L35" i="15"/>
  <c r="AN34" i="15"/>
  <c r="AM34" i="15"/>
  <c r="AL34" i="15"/>
  <c r="AK34" i="15"/>
  <c r="AJ34" i="15"/>
  <c r="O34" i="15"/>
  <c r="AI34" i="15"/>
  <c r="AH34" i="15"/>
  <c r="AG34" i="15"/>
  <c r="AF34" i="15"/>
  <c r="AE34" i="15"/>
  <c r="AD34" i="15"/>
  <c r="AC34" i="15"/>
  <c r="AB34" i="15"/>
  <c r="AA34" i="15"/>
  <c r="W34" i="15"/>
  <c r="V34" i="15"/>
  <c r="U34" i="15"/>
  <c r="X34" i="15"/>
  <c r="M34" i="15"/>
  <c r="L34" i="15"/>
  <c r="AN33" i="15"/>
  <c r="AM33" i="15"/>
  <c r="AL33" i="15"/>
  <c r="AK33" i="15"/>
  <c r="AJ33" i="15"/>
  <c r="AI33" i="15"/>
  <c r="O33" i="15"/>
  <c r="AH33" i="15"/>
  <c r="AG33" i="15"/>
  <c r="AF33" i="15"/>
  <c r="AE33" i="15"/>
  <c r="AD33" i="15"/>
  <c r="AC33" i="15"/>
  <c r="AB33" i="15"/>
  <c r="AA33" i="15"/>
  <c r="AP33" i="15"/>
  <c r="W33" i="15"/>
  <c r="V33" i="15"/>
  <c r="U33" i="15"/>
  <c r="M33" i="15"/>
  <c r="L33" i="15"/>
  <c r="AN32" i="15"/>
  <c r="AM32" i="15"/>
  <c r="AL32" i="15"/>
  <c r="AU32" i="15"/>
  <c r="AK32" i="15"/>
  <c r="AJ32" i="15"/>
  <c r="AI32" i="15"/>
  <c r="AH32" i="15"/>
  <c r="AG32" i="15"/>
  <c r="AF32" i="15"/>
  <c r="AE32" i="15"/>
  <c r="AD32" i="15"/>
  <c r="Q32" i="15"/>
  <c r="AC32" i="15"/>
  <c r="AB32" i="15"/>
  <c r="AA32" i="15"/>
  <c r="W32" i="15"/>
  <c r="X32" i="15"/>
  <c r="V32" i="15"/>
  <c r="U32" i="15"/>
  <c r="M32" i="15"/>
  <c r="L32" i="15"/>
  <c r="AN31" i="15"/>
  <c r="AM31" i="15"/>
  <c r="AL31" i="15"/>
  <c r="AK31" i="15"/>
  <c r="T31" i="15"/>
  <c r="AJ31" i="15"/>
  <c r="AI31" i="15"/>
  <c r="AH31" i="15"/>
  <c r="AG31" i="15"/>
  <c r="N31" i="15"/>
  <c r="AF31" i="15"/>
  <c r="AE31" i="15"/>
  <c r="AD31" i="15"/>
  <c r="AC31" i="15"/>
  <c r="Q31" i="15"/>
  <c r="AB31" i="15"/>
  <c r="AA31" i="15"/>
  <c r="W31" i="15"/>
  <c r="V31" i="15"/>
  <c r="U31" i="15"/>
  <c r="M31" i="15"/>
  <c r="L31" i="15"/>
  <c r="AN30" i="15"/>
  <c r="AV30" i="15"/>
  <c r="AM30" i="15"/>
  <c r="AL30" i="15"/>
  <c r="AK30" i="15"/>
  <c r="AJ30" i="15"/>
  <c r="AI30" i="15"/>
  <c r="AH30" i="15"/>
  <c r="AG30" i="15"/>
  <c r="AF30" i="15"/>
  <c r="AE30" i="15"/>
  <c r="AD30" i="15"/>
  <c r="AC30" i="15"/>
  <c r="AB30" i="15"/>
  <c r="AA30" i="15"/>
  <c r="W30" i="15"/>
  <c r="V30" i="15"/>
  <c r="U30" i="15"/>
  <c r="X30" i="15"/>
  <c r="M30" i="15"/>
  <c r="L30" i="15"/>
  <c r="AN29" i="15"/>
  <c r="AM29" i="15"/>
  <c r="AV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W29" i="15"/>
  <c r="V29" i="15"/>
  <c r="U29" i="15"/>
  <c r="M29" i="15"/>
  <c r="L29" i="15"/>
  <c r="AN28" i="15"/>
  <c r="AM28" i="15"/>
  <c r="AL28" i="15"/>
  <c r="T28" i="15"/>
  <c r="AK28" i="15"/>
  <c r="AJ28" i="15"/>
  <c r="AI28" i="15"/>
  <c r="AH28" i="15"/>
  <c r="N28" i="15"/>
  <c r="AG28" i="15"/>
  <c r="AF28" i="15"/>
  <c r="AE28" i="15"/>
  <c r="AD28" i="15"/>
  <c r="AC28" i="15"/>
  <c r="AB28" i="15"/>
  <c r="AA28" i="15"/>
  <c r="W28" i="15"/>
  <c r="X28" i="15"/>
  <c r="V28" i="15"/>
  <c r="U28" i="15"/>
  <c r="M28" i="15"/>
  <c r="L28" i="15"/>
  <c r="AN27" i="15"/>
  <c r="AM27" i="15"/>
  <c r="AL27" i="15"/>
  <c r="AK27" i="15"/>
  <c r="T27" i="15"/>
  <c r="AJ27" i="15"/>
  <c r="AI27" i="15"/>
  <c r="AH27" i="15"/>
  <c r="AG27" i="15"/>
  <c r="AF27" i="15"/>
  <c r="AE27" i="15"/>
  <c r="AD27" i="15"/>
  <c r="AC27" i="15"/>
  <c r="AB27" i="15"/>
  <c r="AA27" i="15"/>
  <c r="W27" i="15"/>
  <c r="V27" i="15"/>
  <c r="X27" i="15"/>
  <c r="U27" i="15"/>
  <c r="M27" i="15"/>
  <c r="L27" i="15"/>
  <c r="AN26" i="15"/>
  <c r="AM26" i="15"/>
  <c r="AL26" i="15"/>
  <c r="AK26" i="15"/>
  <c r="AJ26" i="15"/>
  <c r="O26" i="15"/>
  <c r="AI26" i="15"/>
  <c r="AH26" i="15"/>
  <c r="AG26" i="15"/>
  <c r="AF26" i="15"/>
  <c r="R26" i="15"/>
  <c r="AE26" i="15"/>
  <c r="AD26" i="15"/>
  <c r="AC26" i="15"/>
  <c r="AB26" i="15"/>
  <c r="AA26" i="15"/>
  <c r="W26" i="15"/>
  <c r="V26" i="15"/>
  <c r="U26" i="15"/>
  <c r="X26" i="15"/>
  <c r="M26" i="15"/>
  <c r="L26" i="15"/>
  <c r="AN25" i="15"/>
  <c r="AM25" i="15"/>
  <c r="AL25" i="15"/>
  <c r="AK25" i="15"/>
  <c r="AJ25" i="15"/>
  <c r="AI25" i="15"/>
  <c r="AH25" i="15"/>
  <c r="AG25" i="15"/>
  <c r="AF25" i="15"/>
  <c r="AE25" i="15"/>
  <c r="AR25" i="15"/>
  <c r="AD25" i="15"/>
  <c r="AC25" i="15"/>
  <c r="AB25" i="15"/>
  <c r="AA25" i="15"/>
  <c r="W25" i="15"/>
  <c r="V25" i="15"/>
  <c r="U25" i="15"/>
  <c r="M25" i="15"/>
  <c r="L25" i="15"/>
  <c r="AN24" i="15"/>
  <c r="AM24" i="15"/>
  <c r="AL24" i="15"/>
  <c r="T24" i="15"/>
  <c r="AK24" i="15"/>
  <c r="AJ24" i="15"/>
  <c r="AI24" i="15"/>
  <c r="AH24" i="15"/>
  <c r="N24" i="15"/>
  <c r="AG24" i="15"/>
  <c r="AF24" i="15"/>
  <c r="AE24" i="15"/>
  <c r="AD24" i="15"/>
  <c r="Q24" i="15"/>
  <c r="AC24" i="15"/>
  <c r="AB24" i="15"/>
  <c r="AA24" i="15"/>
  <c r="W24" i="15"/>
  <c r="X24" i="15"/>
  <c r="V24" i="15"/>
  <c r="U24" i="15"/>
  <c r="M24" i="15"/>
  <c r="L24" i="15"/>
  <c r="AN23" i="15"/>
  <c r="AM23" i="15"/>
  <c r="AL23" i="15"/>
  <c r="AK23" i="15"/>
  <c r="T23" i="15"/>
  <c r="AJ23" i="15"/>
  <c r="AI23" i="15"/>
  <c r="AH23" i="15"/>
  <c r="AG23" i="15"/>
  <c r="N23" i="15"/>
  <c r="AF23" i="15"/>
  <c r="AE23" i="15"/>
  <c r="AD23" i="15"/>
  <c r="AC23" i="15"/>
  <c r="AQ23" i="15"/>
  <c r="AB23" i="15"/>
  <c r="AA23" i="15"/>
  <c r="W23" i="15"/>
  <c r="V23" i="15"/>
  <c r="X23" i="15"/>
  <c r="U23" i="15"/>
  <c r="M23" i="15"/>
  <c r="L23" i="15"/>
  <c r="AN22" i="15"/>
  <c r="P22" i="15"/>
  <c r="AM22" i="15"/>
  <c r="AL22" i="15"/>
  <c r="AK22" i="15"/>
  <c r="AJ22" i="15"/>
  <c r="AI22" i="15"/>
  <c r="AH22" i="15"/>
  <c r="AG22" i="15"/>
  <c r="AF22" i="15"/>
  <c r="AR22" i="15"/>
  <c r="AE22" i="15"/>
  <c r="AD22" i="15"/>
  <c r="AC22" i="15"/>
  <c r="AB22" i="15"/>
  <c r="AA22" i="15"/>
  <c r="W22" i="15"/>
  <c r="V22" i="15"/>
  <c r="U22" i="15"/>
  <c r="X22" i="15"/>
  <c r="M22" i="15"/>
  <c r="L22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S21" i="15"/>
  <c r="W21" i="15"/>
  <c r="V21" i="15"/>
  <c r="U21" i="15"/>
  <c r="M21" i="15"/>
  <c r="L21" i="15"/>
  <c r="AN20" i="15"/>
  <c r="AM20" i="15"/>
  <c r="AL20" i="15"/>
  <c r="AU20" i="15"/>
  <c r="AK20" i="15"/>
  <c r="AJ20" i="15"/>
  <c r="AI20" i="15"/>
  <c r="AH20" i="15"/>
  <c r="AG20" i="15"/>
  <c r="AF20" i="15"/>
  <c r="AE20" i="15"/>
  <c r="AD20" i="15"/>
  <c r="AC20" i="15"/>
  <c r="AB20" i="15"/>
  <c r="AA20" i="15"/>
  <c r="W20" i="15"/>
  <c r="X20" i="15"/>
  <c r="V20" i="15"/>
  <c r="U20" i="15"/>
  <c r="M20" i="15"/>
  <c r="L20" i="15"/>
  <c r="AN19" i="15"/>
  <c r="AM19" i="15"/>
  <c r="AL19" i="15"/>
  <c r="AK19" i="15"/>
  <c r="T19" i="15"/>
  <c r="AJ19" i="15"/>
  <c r="AI19" i="15"/>
  <c r="AH19" i="15"/>
  <c r="AG19" i="15"/>
  <c r="N19" i="15"/>
  <c r="AF19" i="15"/>
  <c r="AE19" i="15"/>
  <c r="AD19" i="15"/>
  <c r="AC19" i="15"/>
  <c r="AQ19" i="15"/>
  <c r="AB19" i="15"/>
  <c r="AA19" i="15"/>
  <c r="W19" i="15"/>
  <c r="V19" i="15"/>
  <c r="X19" i="15"/>
  <c r="U19" i="15"/>
  <c r="M19" i="15"/>
  <c r="L19" i="15"/>
  <c r="AN18" i="15"/>
  <c r="P18" i="15"/>
  <c r="AM18" i="15"/>
  <c r="AL18" i="15"/>
  <c r="AK18" i="15"/>
  <c r="AJ18" i="15"/>
  <c r="AI18" i="15"/>
  <c r="AH18" i="15"/>
  <c r="AG18" i="15"/>
  <c r="AF18" i="15"/>
  <c r="AR18" i="15"/>
  <c r="AE18" i="15"/>
  <c r="AD18" i="15"/>
  <c r="AC18" i="15"/>
  <c r="AB18" i="15"/>
  <c r="AA18" i="15"/>
  <c r="W18" i="15"/>
  <c r="V18" i="15"/>
  <c r="U18" i="15"/>
  <c r="X18" i="15"/>
  <c r="M18" i="15"/>
  <c r="L18" i="15"/>
  <c r="AN17" i="15"/>
  <c r="AM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S17" i="15"/>
  <c r="W17" i="15"/>
  <c r="V17" i="15"/>
  <c r="U17" i="15"/>
  <c r="M17" i="15"/>
  <c r="L17" i="15"/>
  <c r="AN16" i="15"/>
  <c r="AM16" i="15"/>
  <c r="AL16" i="15"/>
  <c r="AU16" i="15"/>
  <c r="AK16" i="15"/>
  <c r="AJ16" i="15"/>
  <c r="AI16" i="15"/>
  <c r="AH16" i="15"/>
  <c r="AG16" i="15"/>
  <c r="AF16" i="15"/>
  <c r="AE16" i="15"/>
  <c r="AD16" i="15"/>
  <c r="AC16" i="15"/>
  <c r="AB16" i="15"/>
  <c r="AA16" i="15"/>
  <c r="W16" i="15"/>
  <c r="X16" i="15"/>
  <c r="V16" i="15"/>
  <c r="U16" i="15"/>
  <c r="M16" i="15"/>
  <c r="L16" i="15"/>
  <c r="AN15" i="15"/>
  <c r="AM15" i="15"/>
  <c r="AL15" i="15"/>
  <c r="AK15" i="15"/>
  <c r="T15" i="15"/>
  <c r="AJ15" i="15"/>
  <c r="AI15" i="15"/>
  <c r="AH15" i="15"/>
  <c r="AG15" i="15"/>
  <c r="N15" i="15"/>
  <c r="AF15" i="15"/>
  <c r="AE15" i="15"/>
  <c r="AD15" i="15"/>
  <c r="AC15" i="15"/>
  <c r="AQ15" i="15"/>
  <c r="AB15" i="15"/>
  <c r="AA15" i="15"/>
  <c r="W15" i="15"/>
  <c r="V15" i="15"/>
  <c r="X15" i="15"/>
  <c r="U15" i="15"/>
  <c r="M15" i="15"/>
  <c r="L15" i="15"/>
  <c r="AN14" i="15"/>
  <c r="P14" i="15"/>
  <c r="AM14" i="15"/>
  <c r="AL14" i="15"/>
  <c r="AK14" i="15"/>
  <c r="AJ14" i="15"/>
  <c r="AI14" i="15"/>
  <c r="AH14" i="15"/>
  <c r="AG14" i="15"/>
  <c r="AF14" i="15"/>
  <c r="AR14" i="15"/>
  <c r="AE14" i="15"/>
  <c r="AD14" i="15"/>
  <c r="AC14" i="15"/>
  <c r="AB14" i="15"/>
  <c r="AA14" i="15"/>
  <c r="W14" i="15"/>
  <c r="V14" i="15"/>
  <c r="U14" i="15"/>
  <c r="X14" i="15"/>
  <c r="M14" i="15"/>
  <c r="L14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S13" i="15"/>
  <c r="W13" i="15"/>
  <c r="V13" i="15"/>
  <c r="U13" i="15"/>
  <c r="M13" i="15"/>
  <c r="L13" i="15"/>
  <c r="AN12" i="15"/>
  <c r="AM12" i="15"/>
  <c r="AL12" i="15"/>
  <c r="AU12" i="15"/>
  <c r="AK12" i="15"/>
  <c r="AJ12" i="15"/>
  <c r="AI12" i="15"/>
  <c r="AH12" i="15"/>
  <c r="AG12" i="15"/>
  <c r="AF12" i="15"/>
  <c r="AE12" i="15"/>
  <c r="AD12" i="15"/>
  <c r="AC12" i="15"/>
  <c r="AB12" i="15"/>
  <c r="AA12" i="15"/>
  <c r="W12" i="15"/>
  <c r="X12" i="15"/>
  <c r="V12" i="15"/>
  <c r="U12" i="15"/>
  <c r="M12" i="15"/>
  <c r="L12" i="15"/>
  <c r="AN11" i="15"/>
  <c r="AM11" i="15"/>
  <c r="AL11" i="15"/>
  <c r="AK11" i="15"/>
  <c r="T11" i="15"/>
  <c r="AJ11" i="15"/>
  <c r="AI11" i="15"/>
  <c r="AH11" i="15"/>
  <c r="AG11" i="15"/>
  <c r="N11" i="15"/>
  <c r="AF11" i="15"/>
  <c r="AE11" i="15"/>
  <c r="AD11" i="15"/>
  <c r="AC11" i="15"/>
  <c r="AQ11" i="15"/>
  <c r="AB11" i="15"/>
  <c r="AA11" i="15"/>
  <c r="W11" i="15"/>
  <c r="V11" i="15"/>
  <c r="X11" i="15"/>
  <c r="U11" i="15"/>
  <c r="M11" i="15"/>
  <c r="L11" i="15"/>
  <c r="AN10" i="15"/>
  <c r="P10" i="15"/>
  <c r="AM10" i="15"/>
  <c r="AL10" i="15"/>
  <c r="AK10" i="15"/>
  <c r="AJ10" i="15"/>
  <c r="AI10" i="15"/>
  <c r="AH10" i="15"/>
  <c r="AG10" i="15"/>
  <c r="AF10" i="15"/>
  <c r="AR10" i="15"/>
  <c r="AE10" i="15"/>
  <c r="AD10" i="15"/>
  <c r="AC10" i="15"/>
  <c r="AB10" i="15"/>
  <c r="AA10" i="15"/>
  <c r="W10" i="15"/>
  <c r="V10" i="15"/>
  <c r="U10" i="15"/>
  <c r="X10" i="15"/>
  <c r="M10" i="15"/>
  <c r="L10" i="15"/>
  <c r="AN9" i="15"/>
  <c r="AM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S9" i="15"/>
  <c r="W9" i="15"/>
  <c r="V9" i="15"/>
  <c r="U9" i="15"/>
  <c r="M9" i="15"/>
  <c r="L9" i="15"/>
  <c r="AN8" i="15"/>
  <c r="AM8" i="15"/>
  <c r="AL8" i="15"/>
  <c r="AU8" i="15"/>
  <c r="AK8" i="15"/>
  <c r="AJ8" i="15"/>
  <c r="AI8" i="15"/>
  <c r="AH8" i="15"/>
  <c r="AG8" i="15"/>
  <c r="AF8" i="15"/>
  <c r="AE8" i="15"/>
  <c r="AD8" i="15"/>
  <c r="AQ8" i="15"/>
  <c r="AC8" i="15"/>
  <c r="AB8" i="15"/>
  <c r="AA8" i="15"/>
  <c r="W8" i="15"/>
  <c r="V8" i="15"/>
  <c r="U8" i="15"/>
  <c r="M8" i="15"/>
  <c r="L8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W7" i="15"/>
  <c r="V7" i="15"/>
  <c r="U7" i="15"/>
  <c r="M7" i="15"/>
  <c r="L7" i="15"/>
  <c r="AN6" i="15"/>
  <c r="AM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W6" i="15"/>
  <c r="V6" i="15"/>
  <c r="U6" i="15"/>
  <c r="M6" i="15"/>
  <c r="L6" i="15"/>
  <c r="AN5" i="15"/>
  <c r="AM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W5" i="15"/>
  <c r="V5" i="15"/>
  <c r="U5" i="15"/>
  <c r="M5" i="15"/>
  <c r="L5" i="15"/>
  <c r="AV59" i="15"/>
  <c r="AU59" i="15"/>
  <c r="AT59" i="15"/>
  <c r="AS59" i="15"/>
  <c r="AR59" i="15"/>
  <c r="AQ59" i="15"/>
  <c r="AP59" i="15"/>
  <c r="AT56" i="15"/>
  <c r="AP56" i="15"/>
  <c r="AV56" i="15"/>
  <c r="O56" i="15"/>
  <c r="AR56" i="15"/>
  <c r="AQ56" i="15"/>
  <c r="S56" i="15"/>
  <c r="T56" i="15"/>
  <c r="R56" i="15"/>
  <c r="P56" i="15"/>
  <c r="AT55" i="15"/>
  <c r="AP55" i="15"/>
  <c r="AV55" i="15"/>
  <c r="O55" i="15"/>
  <c r="N55" i="15"/>
  <c r="AR55" i="15"/>
  <c r="S55" i="15"/>
  <c r="R55" i="15"/>
  <c r="P55" i="15"/>
  <c r="O54" i="15"/>
  <c r="AS54" i="15"/>
  <c r="AQ54" i="15"/>
  <c r="S54" i="15"/>
  <c r="Q54" i="15"/>
  <c r="P54" i="15"/>
  <c r="AU53" i="15"/>
  <c r="AV53" i="15"/>
  <c r="T53" i="15"/>
  <c r="AS53" i="15"/>
  <c r="AR53" i="15"/>
  <c r="AQ53" i="15"/>
  <c r="X53" i="15"/>
  <c r="R53" i="15"/>
  <c r="Q53" i="15"/>
  <c r="AT52" i="15"/>
  <c r="AP52" i="15"/>
  <c r="AV52" i="15"/>
  <c r="O52" i="15"/>
  <c r="N52" i="15"/>
  <c r="AR52" i="15"/>
  <c r="S52" i="15"/>
  <c r="R52" i="15"/>
  <c r="P52" i="15"/>
  <c r="AT51" i="15"/>
  <c r="AP51" i="15"/>
  <c r="AV51" i="15"/>
  <c r="O51" i="15"/>
  <c r="AR51" i="15"/>
  <c r="AQ51" i="15"/>
  <c r="S51" i="15"/>
  <c r="T51" i="15"/>
  <c r="R51" i="15"/>
  <c r="P51" i="15"/>
  <c r="AP50" i="15"/>
  <c r="AS50" i="15"/>
  <c r="AR50" i="15"/>
  <c r="AQ50" i="15"/>
  <c r="R50" i="15"/>
  <c r="Q50" i="15"/>
  <c r="AU49" i="15"/>
  <c r="AT49" i="15"/>
  <c r="T49" i="15"/>
  <c r="O49" i="15"/>
  <c r="AS49" i="15"/>
  <c r="AQ49" i="15"/>
  <c r="S49" i="15"/>
  <c r="X49" i="15"/>
  <c r="Q49" i="15"/>
  <c r="P49" i="15"/>
  <c r="AT48" i="15"/>
  <c r="AP48" i="15"/>
  <c r="AV48" i="15"/>
  <c r="O48" i="15"/>
  <c r="AR48" i="15"/>
  <c r="AQ48" i="15"/>
  <c r="S48" i="15"/>
  <c r="T48" i="15"/>
  <c r="R48" i="15"/>
  <c r="P48" i="15"/>
  <c r="AT47" i="15"/>
  <c r="AP47" i="15"/>
  <c r="AV47" i="15"/>
  <c r="O47" i="15"/>
  <c r="N47" i="15"/>
  <c r="AR47" i="15"/>
  <c r="S47" i="15"/>
  <c r="R47" i="15"/>
  <c r="P47" i="15"/>
  <c r="O46" i="15"/>
  <c r="AS46" i="15"/>
  <c r="AQ46" i="15"/>
  <c r="S46" i="15"/>
  <c r="Q46" i="15"/>
  <c r="P46" i="15"/>
  <c r="AU45" i="15"/>
  <c r="AV45" i="15"/>
  <c r="T45" i="15"/>
  <c r="AS45" i="15"/>
  <c r="AR45" i="15"/>
  <c r="AQ45" i="15"/>
  <c r="X45" i="15"/>
  <c r="R45" i="15"/>
  <c r="Q45" i="15"/>
  <c r="AT44" i="15"/>
  <c r="AP44" i="15"/>
  <c r="AV44" i="15"/>
  <c r="O44" i="15"/>
  <c r="N44" i="15"/>
  <c r="AR44" i="15"/>
  <c r="S44" i="15"/>
  <c r="R44" i="15"/>
  <c r="P44" i="15"/>
  <c r="AT43" i="15"/>
  <c r="AP43" i="15"/>
  <c r="AV43" i="15"/>
  <c r="O43" i="15"/>
  <c r="AR43" i="15"/>
  <c r="AQ43" i="15"/>
  <c r="S43" i="15"/>
  <c r="T43" i="15"/>
  <c r="R43" i="15"/>
  <c r="P43" i="15"/>
  <c r="AP42" i="15"/>
  <c r="AS42" i="15"/>
  <c r="AR42" i="15"/>
  <c r="AQ42" i="15"/>
  <c r="R42" i="15"/>
  <c r="Q42" i="15"/>
  <c r="AU41" i="15"/>
  <c r="AT41" i="15"/>
  <c r="T41" i="15"/>
  <c r="O41" i="15"/>
  <c r="AS41" i="15"/>
  <c r="AQ41" i="15"/>
  <c r="S41" i="15"/>
  <c r="X41" i="15"/>
  <c r="Q41" i="15"/>
  <c r="P41" i="15"/>
  <c r="AT40" i="15"/>
  <c r="AP40" i="15"/>
  <c r="AV40" i="15"/>
  <c r="O40" i="15"/>
  <c r="AR40" i="15"/>
  <c r="AQ40" i="15"/>
  <c r="S40" i="15"/>
  <c r="T40" i="15"/>
  <c r="R40" i="15"/>
  <c r="P40" i="15"/>
  <c r="AT39" i="15"/>
  <c r="AP39" i="15"/>
  <c r="AV39" i="15"/>
  <c r="O39" i="15"/>
  <c r="N39" i="15"/>
  <c r="AR39" i="15"/>
  <c r="S39" i="15"/>
  <c r="R39" i="15"/>
  <c r="P39" i="15"/>
  <c r="AS38" i="15"/>
  <c r="AQ38" i="15"/>
  <c r="X38" i="15"/>
  <c r="Q38" i="15"/>
  <c r="O38" i="15"/>
  <c r="AU37" i="15"/>
  <c r="AV37" i="15"/>
  <c r="N37" i="15"/>
  <c r="AQ37" i="15"/>
  <c r="Q37" i="15"/>
  <c r="X37" i="15"/>
  <c r="T37" i="15"/>
  <c r="R37" i="15"/>
  <c r="AT36" i="15"/>
  <c r="AP36" i="15"/>
  <c r="AV36" i="15"/>
  <c r="AS36" i="15"/>
  <c r="AR36" i="15"/>
  <c r="S36" i="15"/>
  <c r="R36" i="15"/>
  <c r="P36" i="15"/>
  <c r="O36" i="15"/>
  <c r="AT35" i="15"/>
  <c r="AP35" i="15"/>
  <c r="AV35" i="15"/>
  <c r="AS35" i="15"/>
  <c r="AR35" i="15"/>
  <c r="S35" i="15"/>
  <c r="R35" i="15"/>
  <c r="P35" i="15"/>
  <c r="O35" i="15"/>
  <c r="AT34" i="15"/>
  <c r="AS34" i="15"/>
  <c r="AR34" i="15"/>
  <c r="AQ34" i="15"/>
  <c r="R34" i="15"/>
  <c r="Q34" i="15"/>
  <c r="AT33" i="15"/>
  <c r="AU33" i="15"/>
  <c r="N33" i="15"/>
  <c r="Q33" i="15"/>
  <c r="X33" i="15"/>
  <c r="S33" i="15"/>
  <c r="AV32" i="15"/>
  <c r="AV31" i="15"/>
  <c r="X31" i="15"/>
  <c r="P31" i="15"/>
  <c r="T30" i="15"/>
  <c r="N30" i="15"/>
  <c r="Q30" i="15"/>
  <c r="T29" i="15"/>
  <c r="N29" i="15"/>
  <c r="Q29" i="15"/>
  <c r="X29" i="15"/>
  <c r="P29" i="15"/>
  <c r="AV28" i="15"/>
  <c r="Q28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T27" i="15"/>
  <c r="O27" i="15"/>
  <c r="AR27" i="15"/>
  <c r="Q27" i="15"/>
  <c r="R27" i="15"/>
  <c r="AT26" i="15"/>
  <c r="T26" i="15"/>
  <c r="AS26" i="15"/>
  <c r="AR26" i="15"/>
  <c r="Q26" i="15"/>
  <c r="N26" i="15"/>
  <c r="T25" i="15"/>
  <c r="AS25" i="15"/>
  <c r="Q25" i="15"/>
  <c r="X25" i="15"/>
  <c r="R25" i="15"/>
  <c r="N25" i="15"/>
  <c r="AV24" i="15"/>
  <c r="AP24" i="15"/>
  <c r="P24" i="15"/>
  <c r="AT24" i="15"/>
  <c r="O24" i="15"/>
  <c r="AS24" i="15"/>
  <c r="AR24" i="15"/>
  <c r="S24" i="15"/>
  <c r="AV23" i="15"/>
  <c r="AT23" i="15"/>
  <c r="AP23" i="15"/>
  <c r="AR23" i="15"/>
  <c r="Q23" i="15"/>
  <c r="S23" i="15"/>
  <c r="P23" i="15"/>
  <c r="O23" i="15"/>
  <c r="AV22" i="15"/>
  <c r="AU22" i="15"/>
  <c r="N22" i="15"/>
  <c r="AQ22" i="15"/>
  <c r="T22" i="15"/>
  <c r="Q22" i="15"/>
  <c r="AP21" i="15"/>
  <c r="AU21" i="15"/>
  <c r="N21" i="15"/>
  <c r="AR21" i="15"/>
  <c r="AQ21" i="15"/>
  <c r="Q21" i="15"/>
  <c r="X21" i="15"/>
  <c r="T21" i="15"/>
  <c r="AT20" i="15"/>
  <c r="AP20" i="15"/>
  <c r="AV20" i="15"/>
  <c r="N20" i="15"/>
  <c r="AR20" i="15"/>
  <c r="T20" i="15"/>
  <c r="S20" i="15"/>
  <c r="P20" i="15"/>
  <c r="O20" i="15"/>
  <c r="AT19" i="15"/>
  <c r="AP19" i="15"/>
  <c r="AV19" i="15"/>
  <c r="AU19" i="15"/>
  <c r="AR19" i="15"/>
  <c r="Q19" i="15"/>
  <c r="S19" i="15"/>
  <c r="P19" i="15"/>
  <c r="O19" i="15"/>
  <c r="AV18" i="15"/>
  <c r="AU18" i="15"/>
  <c r="N18" i="15"/>
  <c r="AQ18" i="15"/>
  <c r="T18" i="15"/>
  <c r="Q18" i="15"/>
  <c r="AP17" i="15"/>
  <c r="AU17" i="15"/>
  <c r="N17" i="15"/>
  <c r="AR17" i="15"/>
  <c r="AQ17" i="15"/>
  <c r="Q17" i="15"/>
  <c r="X17" i="15"/>
  <c r="T17" i="15"/>
  <c r="AT16" i="15"/>
  <c r="AP16" i="15"/>
  <c r="AV16" i="15"/>
  <c r="N16" i="15"/>
  <c r="AR16" i="15"/>
  <c r="T16" i="15"/>
  <c r="S16" i="15"/>
  <c r="P16" i="15"/>
  <c r="O16" i="15"/>
  <c r="AT15" i="15"/>
  <c r="AP15" i="15"/>
  <c r="AV15" i="15"/>
  <c r="AU15" i="15"/>
  <c r="AR15" i="15"/>
  <c r="Q15" i="15"/>
  <c r="S15" i="15"/>
  <c r="P15" i="15"/>
  <c r="O15" i="15"/>
  <c r="AV14" i="15"/>
  <c r="AU14" i="15"/>
  <c r="N14" i="15"/>
  <c r="AQ14" i="15"/>
  <c r="T14" i="15"/>
  <c r="Q14" i="15"/>
  <c r="AP13" i="15"/>
  <c r="AU13" i="15"/>
  <c r="N13" i="15"/>
  <c r="AR13" i="15"/>
  <c r="AQ13" i="15"/>
  <c r="Q13" i="15"/>
  <c r="X13" i="15"/>
  <c r="T13" i="15"/>
  <c r="AT12" i="15"/>
  <c r="AP12" i="15"/>
  <c r="AV12" i="15"/>
  <c r="N12" i="15"/>
  <c r="AR12" i="15"/>
  <c r="T12" i="15"/>
  <c r="S12" i="15"/>
  <c r="P12" i="15"/>
  <c r="O12" i="15"/>
  <c r="AT11" i="15"/>
  <c r="AP11" i="15"/>
  <c r="AV11" i="15"/>
  <c r="AU11" i="15"/>
  <c r="AR11" i="15"/>
  <c r="Q11" i="15"/>
  <c r="S11" i="15"/>
  <c r="P11" i="15"/>
  <c r="O11" i="15"/>
  <c r="AV10" i="15"/>
  <c r="AU10" i="15"/>
  <c r="N10" i="15"/>
  <c r="AQ10" i="15"/>
  <c r="T10" i="15"/>
  <c r="Q10" i="15"/>
  <c r="AP9" i="15"/>
  <c r="AU9" i="15"/>
  <c r="N9" i="15"/>
  <c r="AR9" i="15"/>
  <c r="AQ9" i="15"/>
  <c r="Q9" i="15"/>
  <c r="X9" i="15"/>
  <c r="T9" i="15"/>
  <c r="AT8" i="15"/>
  <c r="AP8" i="15"/>
  <c r="AV8" i="15"/>
  <c r="N8" i="15"/>
  <c r="AR8" i="15"/>
  <c r="X8" i="15"/>
  <c r="T8" i="15"/>
  <c r="S8" i="15"/>
  <c r="Q8" i="15"/>
  <c r="P8" i="15"/>
  <c r="O8" i="15"/>
  <c r="AT7" i="15"/>
  <c r="AP7" i="15"/>
  <c r="AV7" i="15"/>
  <c r="AU7" i="15"/>
  <c r="N7" i="15"/>
  <c r="AR7" i="15"/>
  <c r="AQ7" i="15"/>
  <c r="Q7" i="15"/>
  <c r="X7" i="15"/>
  <c r="T7" i="15"/>
  <c r="S7" i="15"/>
  <c r="P7" i="15"/>
  <c r="O7" i="15"/>
  <c r="AT6" i="15"/>
  <c r="AP6" i="15"/>
  <c r="AV6" i="15"/>
  <c r="AU6" i="15"/>
  <c r="N6" i="15"/>
  <c r="AR6" i="15"/>
  <c r="AQ6" i="15"/>
  <c r="X6" i="15"/>
  <c r="T6" i="15"/>
  <c r="S6" i="15"/>
  <c r="Q6" i="15"/>
  <c r="P6" i="15"/>
  <c r="O6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T5" i="15"/>
  <c r="AP5" i="15"/>
  <c r="AV5" i="15"/>
  <c r="T5" i="15"/>
  <c r="AS5" i="15"/>
  <c r="AR5" i="15"/>
  <c r="Q5" i="15"/>
  <c r="X5" i="15"/>
  <c r="S5" i="15"/>
  <c r="P5" i="15"/>
  <c r="O5" i="15"/>
  <c r="T1" i="15"/>
  <c r="S1" i="15"/>
  <c r="R1" i="15"/>
  <c r="Q1" i="15"/>
  <c r="P1" i="15"/>
  <c r="O1" i="15"/>
  <c r="N1" i="15"/>
  <c r="Z40" i="16"/>
  <c r="Z25" i="16"/>
  <c r="Z23" i="16"/>
  <c r="Z47" i="16"/>
  <c r="Z39" i="16"/>
  <c r="Z50" i="16"/>
  <c r="Z42" i="16"/>
  <c r="Z32" i="16"/>
  <c r="Z31" i="16"/>
  <c r="Z33" i="16"/>
  <c r="Z38" i="16"/>
  <c r="Z55" i="16"/>
  <c r="Z45" i="16"/>
  <c r="Z41" i="16"/>
  <c r="Z37" i="16"/>
  <c r="Z53" i="16"/>
  <c r="Z34" i="16"/>
  <c r="Z46" i="16"/>
  <c r="Z49" i="16"/>
  <c r="Z51" i="16"/>
  <c r="Z36" i="16"/>
  <c r="Z35" i="16"/>
  <c r="Z21" i="16"/>
  <c r="AT9" i="15"/>
  <c r="O9" i="15"/>
  <c r="P9" i="15"/>
  <c r="AV9" i="15"/>
  <c r="AP10" i="15"/>
  <c r="S10" i="15"/>
  <c r="AT10" i="15"/>
  <c r="O10" i="15"/>
  <c r="AQ12" i="15"/>
  <c r="Q12" i="15"/>
  <c r="Z12" i="15"/>
  <c r="AT13" i="15"/>
  <c r="O13" i="15"/>
  <c r="Z13" i="15"/>
  <c r="P13" i="15"/>
  <c r="AV13" i="15"/>
  <c r="AP14" i="15"/>
  <c r="S14" i="15"/>
  <c r="AT14" i="15"/>
  <c r="O14" i="15"/>
  <c r="AQ16" i="15"/>
  <c r="Q16" i="15"/>
  <c r="AT17" i="15"/>
  <c r="O17" i="15"/>
  <c r="P17" i="15"/>
  <c r="AV17" i="15"/>
  <c r="AP18" i="15"/>
  <c r="S18" i="15"/>
  <c r="AT18" i="15"/>
  <c r="O18" i="15"/>
  <c r="AQ20" i="15"/>
  <c r="Q20" i="15"/>
  <c r="AT21" i="15"/>
  <c r="O21" i="15"/>
  <c r="P21" i="15"/>
  <c r="AV21" i="15"/>
  <c r="AP22" i="15"/>
  <c r="S22" i="15"/>
  <c r="AT22" i="15"/>
  <c r="O22" i="15"/>
  <c r="O25" i="15"/>
  <c r="AT25" i="15"/>
  <c r="AS27" i="15"/>
  <c r="N27" i="15"/>
  <c r="AR33" i="15"/>
  <c r="R33" i="15"/>
  <c r="AV33" i="15"/>
  <c r="P33" i="15"/>
  <c r="Z33" i="15"/>
  <c r="S34" i="15"/>
  <c r="AP34" i="15"/>
  <c r="AV34" i="15"/>
  <c r="P34" i="15"/>
  <c r="AQ36" i="15"/>
  <c r="Q36" i="15"/>
  <c r="AU36" i="15"/>
  <c r="T36" i="15"/>
  <c r="AP37" i="15"/>
  <c r="S37" i="15"/>
  <c r="AT37" i="15"/>
  <c r="O37" i="15"/>
  <c r="AP38" i="15"/>
  <c r="S38" i="15"/>
  <c r="AR38" i="15"/>
  <c r="R38" i="15"/>
  <c r="AV38" i="15"/>
  <c r="P38" i="15"/>
  <c r="AQ39" i="15"/>
  <c r="Q39" i="15"/>
  <c r="Z40" i="15"/>
  <c r="AR41" i="15"/>
  <c r="R41" i="15"/>
  <c r="O42" i="15"/>
  <c r="AT42" i="15"/>
  <c r="P42" i="15"/>
  <c r="AV42" i="15"/>
  <c r="AQ44" i="15"/>
  <c r="Q44" i="15"/>
  <c r="T44" i="15"/>
  <c r="Z44" i="15"/>
  <c r="AU44" i="15"/>
  <c r="S45" i="15"/>
  <c r="AP45" i="15"/>
  <c r="AT45" i="15"/>
  <c r="O45" i="15"/>
  <c r="AR46" i="15"/>
  <c r="R46" i="15"/>
  <c r="AQ47" i="15"/>
  <c r="Q47" i="15"/>
  <c r="Z48" i="15"/>
  <c r="AR49" i="15"/>
  <c r="R49" i="15"/>
  <c r="O50" i="15"/>
  <c r="AT50" i="15"/>
  <c r="P50" i="15"/>
  <c r="AV50" i="15"/>
  <c r="AQ52" i="15"/>
  <c r="Q52" i="15"/>
  <c r="Z52" i="15"/>
  <c r="T52" i="15"/>
  <c r="AU52" i="15"/>
  <c r="S53" i="15"/>
  <c r="AP53" i="15"/>
  <c r="AT53" i="15"/>
  <c r="O53" i="15"/>
  <c r="AR54" i="15"/>
  <c r="R54" i="15"/>
  <c r="AQ55" i="15"/>
  <c r="Q55" i="15"/>
  <c r="Z56" i="15"/>
  <c r="Z15" i="15"/>
  <c r="Z17" i="15"/>
  <c r="AQ5" i="15"/>
  <c r="AU5" i="15"/>
  <c r="AP28" i="15"/>
  <c r="S28" i="15"/>
  <c r="AR28" i="15"/>
  <c r="R28" i="15"/>
  <c r="AT28" i="15"/>
  <c r="O28" i="15"/>
  <c r="Z28" i="15"/>
  <c r="S32" i="15"/>
  <c r="AP32" i="15"/>
  <c r="AR32" i="15"/>
  <c r="R32" i="15"/>
  <c r="O32" i="15"/>
  <c r="AT32" i="15"/>
  <c r="T35" i="15"/>
  <c r="AU35" i="15"/>
  <c r="AQ35" i="15"/>
  <c r="N5" i="15"/>
  <c r="AS6" i="15"/>
  <c r="AS8" i="15"/>
  <c r="AS10" i="15"/>
  <c r="AS12" i="15"/>
  <c r="AS14" i="15"/>
  <c r="AS16" i="15"/>
  <c r="AS18" i="15"/>
  <c r="AS20" i="15"/>
  <c r="AS22" i="15"/>
  <c r="R24" i="15"/>
  <c r="Z24" i="15"/>
  <c r="S26" i="15"/>
  <c r="AP26" i="15"/>
  <c r="P26" i="15"/>
  <c r="Z26" i="15"/>
  <c r="AV26" i="15"/>
  <c r="AP29" i="15"/>
  <c r="S29" i="15"/>
  <c r="AR29" i="15"/>
  <c r="R29" i="15"/>
  <c r="Z29" i="15"/>
  <c r="AT29" i="15"/>
  <c r="O29" i="15"/>
  <c r="P30" i="15"/>
  <c r="AU34" i="15"/>
  <c r="T34" i="15"/>
  <c r="AP30" i="15"/>
  <c r="S30" i="15"/>
  <c r="AR30" i="15"/>
  <c r="R30" i="15"/>
  <c r="AT30" i="15"/>
  <c r="O30" i="15"/>
  <c r="Z30" i="15"/>
  <c r="AS7" i="15"/>
  <c r="AS9" i="15"/>
  <c r="AS11" i="15"/>
  <c r="AS13" i="15"/>
  <c r="AS15" i="15"/>
  <c r="AS17" i="15"/>
  <c r="AS19" i="15"/>
  <c r="AS21" i="15"/>
  <c r="AS23" i="15"/>
  <c r="AU23" i="15"/>
  <c r="AP25" i="15"/>
  <c r="S25" i="15"/>
  <c r="P25" i="15"/>
  <c r="AV25" i="15"/>
  <c r="S27" i="15"/>
  <c r="AP27" i="15"/>
  <c r="AV27" i="15"/>
  <c r="P27" i="15"/>
  <c r="P28" i="15"/>
  <c r="AP31" i="15"/>
  <c r="S31" i="15"/>
  <c r="AR31" i="15"/>
  <c r="R31" i="15"/>
  <c r="AT31" i="15"/>
  <c r="O31" i="15"/>
  <c r="P32" i="15"/>
  <c r="Z39" i="15"/>
  <c r="Z43" i="15"/>
  <c r="Z47" i="15"/>
  <c r="Z51" i="15"/>
  <c r="Z55" i="15"/>
  <c r="AS43" i="15"/>
  <c r="AU43" i="15"/>
  <c r="AS51" i="15"/>
  <c r="AU51" i="15"/>
  <c r="AS55" i="15"/>
  <c r="AU55" i="15"/>
  <c r="R5" i="15"/>
  <c r="R6" i="15"/>
  <c r="Z6" i="15"/>
  <c r="R7" i="15"/>
  <c r="Z7" i="15"/>
  <c r="R8" i="15"/>
  <c r="Z8" i="15"/>
  <c r="R9" i="15"/>
  <c r="R10" i="15"/>
  <c r="Z10" i="15"/>
  <c r="R11" i="15"/>
  <c r="Z11" i="15"/>
  <c r="R12" i="15"/>
  <c r="R13" i="15"/>
  <c r="R14" i="15"/>
  <c r="Z14" i="15"/>
  <c r="R15" i="15"/>
  <c r="R16" i="15"/>
  <c r="Z16" i="15"/>
  <c r="R17" i="15"/>
  <c r="R18" i="15"/>
  <c r="Z18" i="15"/>
  <c r="R19" i="15"/>
  <c r="Z19" i="15"/>
  <c r="R20" i="15"/>
  <c r="Z20" i="15"/>
  <c r="R21" i="15"/>
  <c r="R22" i="15"/>
  <c r="Z22" i="15"/>
  <c r="R23" i="15"/>
  <c r="Z23" i="15"/>
  <c r="AQ24" i="15"/>
  <c r="AU24" i="15"/>
  <c r="AQ25" i="15"/>
  <c r="AU25" i="15"/>
  <c r="AQ26" i="15"/>
  <c r="AU26" i="15"/>
  <c r="AQ27" i="15"/>
  <c r="AU27" i="15"/>
  <c r="AQ28" i="15"/>
  <c r="AU28" i="15"/>
  <c r="AS28" i="15"/>
  <c r="AQ29" i="15"/>
  <c r="AU29" i="15"/>
  <c r="AS29" i="15"/>
  <c r="AQ30" i="15"/>
  <c r="AU30" i="15"/>
  <c r="AS30" i="15"/>
  <c r="AQ31" i="15"/>
  <c r="AU31" i="15"/>
  <c r="AS31" i="15"/>
  <c r="T32" i="15"/>
  <c r="AQ32" i="15"/>
  <c r="T33" i="15"/>
  <c r="AQ33" i="15"/>
  <c r="Z37" i="15"/>
  <c r="T38" i="15"/>
  <c r="AU38" i="15"/>
  <c r="T42" i="15"/>
  <c r="AU42" i="15"/>
  <c r="T46" i="15"/>
  <c r="AU46" i="15"/>
  <c r="T50" i="15"/>
  <c r="AU50" i="15"/>
  <c r="T54" i="15"/>
  <c r="AU54" i="15"/>
  <c r="AS32" i="15"/>
  <c r="N32" i="15"/>
  <c r="Z32" i="15"/>
  <c r="AS39" i="15"/>
  <c r="AU39" i="15"/>
  <c r="AS47" i="15"/>
  <c r="AU47" i="15"/>
  <c r="N34" i="15"/>
  <c r="Z34" i="15"/>
  <c r="AS33" i="15"/>
  <c r="N36" i="15"/>
  <c r="Z36" i="15"/>
  <c r="AS37" i="15"/>
  <c r="AS40" i="15"/>
  <c r="N41" i="15"/>
  <c r="Z41" i="15"/>
  <c r="AS44" i="15"/>
  <c r="N45" i="15"/>
  <c r="AS48" i="15"/>
  <c r="N49" i="15"/>
  <c r="AS52" i="15"/>
  <c r="N53" i="15"/>
  <c r="AS56" i="15"/>
  <c r="N35" i="15"/>
  <c r="Z35" i="15"/>
  <c r="N38" i="15"/>
  <c r="Z38" i="15"/>
  <c r="N42" i="15"/>
  <c r="N46" i="15"/>
  <c r="N50" i="15"/>
  <c r="Z50" i="15"/>
  <c r="N54" i="15"/>
  <c r="Z54" i="15"/>
  <c r="AN56" i="12"/>
  <c r="AM56" i="12"/>
  <c r="AL56" i="12"/>
  <c r="AK56" i="12"/>
  <c r="AJ56" i="12"/>
  <c r="AI56" i="12"/>
  <c r="AH56" i="12"/>
  <c r="AG56" i="12"/>
  <c r="AF56" i="12"/>
  <c r="AE56" i="12"/>
  <c r="AD56" i="12"/>
  <c r="AQ56" i="12"/>
  <c r="AC56" i="12"/>
  <c r="AB56" i="12"/>
  <c r="AA56" i="12"/>
  <c r="W56" i="12"/>
  <c r="X56" i="12"/>
  <c r="V56" i="12"/>
  <c r="U56" i="12"/>
  <c r="M56" i="12"/>
  <c r="L56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Q55" i="12"/>
  <c r="AB55" i="12"/>
  <c r="AA55" i="12"/>
  <c r="W55" i="12"/>
  <c r="V55" i="12"/>
  <c r="X55" i="12"/>
  <c r="U55" i="12"/>
  <c r="M55" i="12"/>
  <c r="L55" i="12"/>
  <c r="AN54" i="12"/>
  <c r="AM54" i="12"/>
  <c r="AL54" i="12"/>
  <c r="AK54" i="12"/>
  <c r="AJ54" i="12"/>
  <c r="O54" i="12"/>
  <c r="AI54" i="12"/>
  <c r="AH54" i="12"/>
  <c r="AG54" i="12"/>
  <c r="AF54" i="12"/>
  <c r="AE54" i="12"/>
  <c r="AD54" i="12"/>
  <c r="AC54" i="12"/>
  <c r="AB54" i="12"/>
  <c r="S54" i="12"/>
  <c r="AA54" i="12"/>
  <c r="W54" i="12"/>
  <c r="V54" i="12"/>
  <c r="U54" i="12"/>
  <c r="M54" i="12"/>
  <c r="L54" i="12"/>
  <c r="AN53" i="12"/>
  <c r="AM53" i="12"/>
  <c r="P53" i="12"/>
  <c r="AL53" i="12"/>
  <c r="AK53" i="12"/>
  <c r="AJ53" i="12"/>
  <c r="AI53" i="12"/>
  <c r="O53" i="12"/>
  <c r="AH53" i="12"/>
  <c r="AG53" i="12"/>
  <c r="AF53" i="12"/>
  <c r="AE53" i="12"/>
  <c r="AD53" i="12"/>
  <c r="AC53" i="12"/>
  <c r="AB53" i="12"/>
  <c r="AA53" i="12"/>
  <c r="W53" i="12"/>
  <c r="V53" i="12"/>
  <c r="U53" i="12"/>
  <c r="M53" i="12"/>
  <c r="L53" i="12"/>
  <c r="AN52" i="12"/>
  <c r="AM52" i="12"/>
  <c r="AL52" i="12"/>
  <c r="AK52" i="12"/>
  <c r="AJ52" i="12"/>
  <c r="AI52" i="12"/>
  <c r="AH52" i="12"/>
  <c r="AG52" i="12"/>
  <c r="AF52" i="12"/>
  <c r="AE52" i="12"/>
  <c r="AD52" i="12"/>
  <c r="AQ52" i="12"/>
  <c r="AC52" i="12"/>
  <c r="AB52" i="12"/>
  <c r="AA52" i="12"/>
  <c r="W52" i="12"/>
  <c r="X52" i="12"/>
  <c r="V52" i="12"/>
  <c r="U52" i="12"/>
  <c r="M52" i="12"/>
  <c r="L52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W51" i="12"/>
  <c r="V51" i="12"/>
  <c r="U51" i="12"/>
  <c r="M51" i="12"/>
  <c r="L51" i="12"/>
  <c r="AN50" i="12"/>
  <c r="AV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S50" i="12"/>
  <c r="AA50" i="12"/>
  <c r="W50" i="12"/>
  <c r="V50" i="12"/>
  <c r="U50" i="12"/>
  <c r="X50" i="12"/>
  <c r="M50" i="12"/>
  <c r="L50" i="12"/>
  <c r="AN49" i="12"/>
  <c r="AM49" i="12"/>
  <c r="AL49" i="12"/>
  <c r="AK49" i="12"/>
  <c r="AJ49" i="12"/>
  <c r="AI49" i="12"/>
  <c r="O49" i="12"/>
  <c r="AH49" i="12"/>
  <c r="AG49" i="12"/>
  <c r="AF49" i="12"/>
  <c r="AE49" i="12"/>
  <c r="AR49" i="12"/>
  <c r="AD49" i="12"/>
  <c r="AC49" i="12"/>
  <c r="AB49" i="12"/>
  <c r="AA49" i="12"/>
  <c r="S49" i="12"/>
  <c r="W49" i="12"/>
  <c r="V49" i="12"/>
  <c r="U49" i="12"/>
  <c r="M49" i="12"/>
  <c r="L49" i="12"/>
  <c r="AN48" i="12"/>
  <c r="AM48" i="12"/>
  <c r="AL48" i="12"/>
  <c r="AK48" i="12"/>
  <c r="AJ48" i="12"/>
  <c r="AI48" i="12"/>
  <c r="AH48" i="12"/>
  <c r="AG48" i="12"/>
  <c r="AF48" i="12"/>
  <c r="AE48" i="12"/>
  <c r="AD48" i="12"/>
  <c r="AQ48" i="12"/>
  <c r="AC48" i="12"/>
  <c r="AB48" i="12"/>
  <c r="AA48" i="12"/>
  <c r="W48" i="12"/>
  <c r="X48" i="12"/>
  <c r="V48" i="12"/>
  <c r="U48" i="12"/>
  <c r="M48" i="12"/>
  <c r="L48" i="12"/>
  <c r="AN47" i="12"/>
  <c r="AM47" i="12"/>
  <c r="AL47" i="12"/>
  <c r="AK47" i="12"/>
  <c r="AJ47" i="12"/>
  <c r="AI47" i="12"/>
  <c r="AH47" i="12"/>
  <c r="AG47" i="12"/>
  <c r="AS47" i="12"/>
  <c r="AF47" i="12"/>
  <c r="AE47" i="12"/>
  <c r="AD47" i="12"/>
  <c r="AC47" i="12"/>
  <c r="AB47" i="12"/>
  <c r="AA47" i="12"/>
  <c r="W47" i="12"/>
  <c r="V47" i="12"/>
  <c r="U47" i="12"/>
  <c r="M47" i="12"/>
  <c r="L47" i="12"/>
  <c r="AN46" i="12"/>
  <c r="P46" i="12"/>
  <c r="AM46" i="12"/>
  <c r="AL46" i="12"/>
  <c r="AK46" i="12"/>
  <c r="AJ46" i="12"/>
  <c r="AI46" i="12"/>
  <c r="AH46" i="12"/>
  <c r="AG46" i="12"/>
  <c r="AF46" i="12"/>
  <c r="AR46" i="12"/>
  <c r="AE46" i="12"/>
  <c r="AD46" i="12"/>
  <c r="AC46" i="12"/>
  <c r="AB46" i="12"/>
  <c r="AA46" i="12"/>
  <c r="W46" i="12"/>
  <c r="V46" i="12"/>
  <c r="U46" i="12"/>
  <c r="X46" i="12"/>
  <c r="M46" i="12"/>
  <c r="L46" i="12"/>
  <c r="AN45" i="12"/>
  <c r="AM45" i="12"/>
  <c r="AL45" i="12"/>
  <c r="AK45" i="12"/>
  <c r="AJ45" i="12"/>
  <c r="AI45" i="12"/>
  <c r="O45" i="12"/>
  <c r="AH45" i="12"/>
  <c r="AG45" i="12"/>
  <c r="AF45" i="12"/>
  <c r="AE45" i="12"/>
  <c r="AD45" i="12"/>
  <c r="AC45" i="12"/>
  <c r="AB45" i="12"/>
  <c r="AA45" i="12"/>
  <c r="S45" i="12"/>
  <c r="W45" i="12"/>
  <c r="V45" i="12"/>
  <c r="U45" i="12"/>
  <c r="M45" i="12"/>
  <c r="L45" i="12"/>
  <c r="AN44" i="12"/>
  <c r="AM44" i="12"/>
  <c r="AL44" i="12"/>
  <c r="AK44" i="12"/>
  <c r="AJ44" i="12"/>
  <c r="AI44" i="12"/>
  <c r="AH44" i="12"/>
  <c r="AG44" i="12"/>
  <c r="AF44" i="12"/>
  <c r="AE44" i="12"/>
  <c r="AD44" i="12"/>
  <c r="Q44" i="12"/>
  <c r="AC44" i="12"/>
  <c r="AB44" i="12"/>
  <c r="AA44" i="12"/>
  <c r="W44" i="12"/>
  <c r="X44" i="12"/>
  <c r="V44" i="12"/>
  <c r="U44" i="12"/>
  <c r="M44" i="12"/>
  <c r="L44" i="12"/>
  <c r="AN43" i="12"/>
  <c r="AM43" i="12"/>
  <c r="AL43" i="12"/>
  <c r="AK43" i="12"/>
  <c r="AJ43" i="12"/>
  <c r="AI43" i="12"/>
  <c r="AH43" i="12"/>
  <c r="AG43" i="12"/>
  <c r="N43" i="12"/>
  <c r="AF43" i="12"/>
  <c r="AE43" i="12"/>
  <c r="AD43" i="12"/>
  <c r="AC43" i="12"/>
  <c r="AB43" i="12"/>
  <c r="AA43" i="12"/>
  <c r="W43" i="12"/>
  <c r="V43" i="12"/>
  <c r="X43" i="12"/>
  <c r="U43" i="12"/>
  <c r="M43" i="12"/>
  <c r="L43" i="12"/>
  <c r="AN42" i="12"/>
  <c r="AM42" i="12"/>
  <c r="AL42" i="12"/>
  <c r="AK42" i="12"/>
  <c r="AJ42" i="12"/>
  <c r="O42" i="12"/>
  <c r="AI42" i="12"/>
  <c r="AH42" i="12"/>
  <c r="AG42" i="12"/>
  <c r="AF42" i="12"/>
  <c r="AE42" i="12"/>
  <c r="AD42" i="12"/>
  <c r="AC42" i="12"/>
  <c r="AB42" i="12"/>
  <c r="S42" i="12"/>
  <c r="AA42" i="12"/>
  <c r="W42" i="12"/>
  <c r="V42" i="12"/>
  <c r="U42" i="12"/>
  <c r="M42" i="12"/>
  <c r="L42" i="12"/>
  <c r="AN41" i="12"/>
  <c r="AM41" i="12"/>
  <c r="P41" i="12"/>
  <c r="AL41" i="12"/>
  <c r="AK41" i="12"/>
  <c r="AJ41" i="12"/>
  <c r="AI41" i="12"/>
  <c r="AH41" i="12"/>
  <c r="AG41" i="12"/>
  <c r="AF41" i="12"/>
  <c r="AE41" i="12"/>
  <c r="AR41" i="12"/>
  <c r="AD41" i="12"/>
  <c r="AC41" i="12"/>
  <c r="AB41" i="12"/>
  <c r="AA41" i="12"/>
  <c r="W41" i="12"/>
  <c r="V41" i="12"/>
  <c r="U41" i="12"/>
  <c r="M41" i="12"/>
  <c r="L41" i="12"/>
  <c r="AN40" i="12"/>
  <c r="AM40" i="12"/>
  <c r="AL40" i="12"/>
  <c r="AK40" i="12"/>
  <c r="AJ40" i="12"/>
  <c r="AI40" i="12"/>
  <c r="AH40" i="12"/>
  <c r="AS40" i="12"/>
  <c r="AG40" i="12"/>
  <c r="AF40" i="12"/>
  <c r="AE40" i="12"/>
  <c r="AD40" i="12"/>
  <c r="AC40" i="12"/>
  <c r="AB40" i="12"/>
  <c r="AA40" i="12"/>
  <c r="W40" i="12"/>
  <c r="X40" i="12"/>
  <c r="V40" i="12"/>
  <c r="U40" i="12"/>
  <c r="M40" i="12"/>
  <c r="L40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Q39" i="12"/>
  <c r="AB39" i="12"/>
  <c r="AA39" i="12"/>
  <c r="W39" i="12"/>
  <c r="V39" i="12"/>
  <c r="X39" i="12"/>
  <c r="U39" i="12"/>
  <c r="M39" i="12"/>
  <c r="L39" i="12"/>
  <c r="AN38" i="12"/>
  <c r="AV38" i="12"/>
  <c r="AM38" i="12"/>
  <c r="AL38" i="12"/>
  <c r="AK38" i="12"/>
  <c r="AJ38" i="12"/>
  <c r="O38" i="12"/>
  <c r="AI38" i="12"/>
  <c r="AH38" i="12"/>
  <c r="AG38" i="12"/>
  <c r="AF38" i="12"/>
  <c r="AE38" i="12"/>
  <c r="AD38" i="12"/>
  <c r="AC38" i="12"/>
  <c r="AB38" i="12"/>
  <c r="AP38" i="12"/>
  <c r="AA38" i="12"/>
  <c r="W38" i="12"/>
  <c r="V38" i="12"/>
  <c r="U38" i="12"/>
  <c r="M38" i="12"/>
  <c r="L38" i="12"/>
  <c r="AN37" i="12"/>
  <c r="AM37" i="12"/>
  <c r="P37" i="12"/>
  <c r="AL37" i="12"/>
  <c r="AK37" i="12"/>
  <c r="AJ37" i="12"/>
  <c r="AI37" i="12"/>
  <c r="O37" i="12"/>
  <c r="AH37" i="12"/>
  <c r="AG37" i="12"/>
  <c r="AF37" i="12"/>
  <c r="AE37" i="12"/>
  <c r="AR37" i="12"/>
  <c r="AD37" i="12"/>
  <c r="AC37" i="12"/>
  <c r="AB37" i="12"/>
  <c r="AA37" i="12"/>
  <c r="W37" i="12"/>
  <c r="V37" i="12"/>
  <c r="U37" i="12"/>
  <c r="M37" i="12"/>
  <c r="L37" i="12"/>
  <c r="AN36" i="12"/>
  <c r="AM36" i="12"/>
  <c r="AL36" i="12"/>
  <c r="AK36" i="12"/>
  <c r="AJ36" i="12"/>
  <c r="AI36" i="12"/>
  <c r="AH36" i="12"/>
  <c r="N36" i="12"/>
  <c r="AG36" i="12"/>
  <c r="AF36" i="12"/>
  <c r="AE36" i="12"/>
  <c r="AD36" i="12"/>
  <c r="AQ36" i="12"/>
  <c r="AC36" i="12"/>
  <c r="AB36" i="12"/>
  <c r="AA36" i="12"/>
  <c r="W36" i="12"/>
  <c r="X36" i="12"/>
  <c r="V36" i="12"/>
  <c r="U36" i="12"/>
  <c r="M36" i="12"/>
  <c r="L36" i="12"/>
  <c r="AN35" i="12"/>
  <c r="AM35" i="12"/>
  <c r="AL35" i="12"/>
  <c r="AK35" i="12"/>
  <c r="AJ35" i="12"/>
  <c r="AI35" i="12"/>
  <c r="AH35" i="12"/>
  <c r="AG35" i="12"/>
  <c r="N35" i="12"/>
  <c r="AF35" i="12"/>
  <c r="AE35" i="12"/>
  <c r="AD35" i="12"/>
  <c r="AC35" i="12"/>
  <c r="AB35" i="12"/>
  <c r="AA35" i="12"/>
  <c r="W35" i="12"/>
  <c r="V35" i="12"/>
  <c r="X35" i="12"/>
  <c r="U35" i="12"/>
  <c r="M35" i="12"/>
  <c r="L35" i="12"/>
  <c r="AN34" i="12"/>
  <c r="AV34" i="12"/>
  <c r="AM34" i="12"/>
  <c r="AL34" i="12"/>
  <c r="AK34" i="12"/>
  <c r="AJ34" i="12"/>
  <c r="AT34" i="12"/>
  <c r="AI34" i="12"/>
  <c r="AH34" i="12"/>
  <c r="AG34" i="12"/>
  <c r="AF34" i="12"/>
  <c r="AE34" i="12"/>
  <c r="AD34" i="12"/>
  <c r="AC34" i="12"/>
  <c r="AB34" i="12"/>
  <c r="AA34" i="12"/>
  <c r="W34" i="12"/>
  <c r="V34" i="12"/>
  <c r="U34" i="12"/>
  <c r="M34" i="12"/>
  <c r="L34" i="12"/>
  <c r="AN33" i="12"/>
  <c r="AM33" i="12"/>
  <c r="AV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W33" i="12"/>
  <c r="V33" i="12"/>
  <c r="U33" i="12"/>
  <c r="M33" i="12"/>
  <c r="L33" i="12"/>
  <c r="AN32" i="12"/>
  <c r="AM32" i="12"/>
  <c r="AL32" i="12"/>
  <c r="T32" i="12"/>
  <c r="AK32" i="12"/>
  <c r="AJ32" i="12"/>
  <c r="AI32" i="12"/>
  <c r="AH32" i="12"/>
  <c r="N32" i="12"/>
  <c r="AG32" i="12"/>
  <c r="AF32" i="12"/>
  <c r="AE32" i="12"/>
  <c r="AD32" i="12"/>
  <c r="AQ32" i="12"/>
  <c r="AC32" i="12"/>
  <c r="AB32" i="12"/>
  <c r="AA32" i="12"/>
  <c r="W32" i="12"/>
  <c r="X32" i="12"/>
  <c r="V32" i="12"/>
  <c r="U32" i="12"/>
  <c r="M32" i="12"/>
  <c r="L32" i="12"/>
  <c r="AN31" i="12"/>
  <c r="AM31" i="12"/>
  <c r="AL31" i="12"/>
  <c r="AK31" i="12"/>
  <c r="AJ31" i="12"/>
  <c r="AI31" i="12"/>
  <c r="AH31" i="12"/>
  <c r="AG31" i="12"/>
  <c r="N31" i="12"/>
  <c r="AF31" i="12"/>
  <c r="AE31" i="12"/>
  <c r="AD31" i="12"/>
  <c r="AC31" i="12"/>
  <c r="AB31" i="12"/>
  <c r="AA31" i="12"/>
  <c r="W31" i="12"/>
  <c r="V31" i="12"/>
  <c r="X31" i="12"/>
  <c r="U31" i="12"/>
  <c r="M31" i="12"/>
  <c r="L31" i="12"/>
  <c r="AN30" i="12"/>
  <c r="AV30" i="12"/>
  <c r="AM30" i="12"/>
  <c r="AL30" i="12"/>
  <c r="AK30" i="12"/>
  <c r="AJ30" i="12"/>
  <c r="O30" i="12"/>
  <c r="AI30" i="12"/>
  <c r="AH30" i="12"/>
  <c r="AG30" i="12"/>
  <c r="AF30" i="12"/>
  <c r="AE30" i="12"/>
  <c r="AD30" i="12"/>
  <c r="AC30" i="12"/>
  <c r="AB30" i="12"/>
  <c r="AP30" i="12"/>
  <c r="AA30" i="12"/>
  <c r="W30" i="12"/>
  <c r="V30" i="12"/>
  <c r="U30" i="12"/>
  <c r="M30" i="12"/>
  <c r="L30" i="12"/>
  <c r="AN29" i="12"/>
  <c r="AM29" i="12"/>
  <c r="AV29" i="12"/>
  <c r="AL29" i="12"/>
  <c r="AK29" i="12"/>
  <c r="AJ29" i="12"/>
  <c r="AI29" i="12"/>
  <c r="AT29" i="12"/>
  <c r="AH29" i="12"/>
  <c r="AG29" i="12"/>
  <c r="AF29" i="12"/>
  <c r="AE29" i="12"/>
  <c r="AD29" i="12"/>
  <c r="AC29" i="12"/>
  <c r="AB29" i="12"/>
  <c r="AA29" i="12"/>
  <c r="W29" i="12"/>
  <c r="V29" i="12"/>
  <c r="U29" i="12"/>
  <c r="M29" i="12"/>
  <c r="L29" i="12"/>
  <c r="AN28" i="12"/>
  <c r="AM28" i="12"/>
  <c r="AL28" i="12"/>
  <c r="AU28" i="12"/>
  <c r="AK28" i="12"/>
  <c r="AJ28" i="12"/>
  <c r="AI28" i="12"/>
  <c r="AH28" i="12"/>
  <c r="N28" i="12"/>
  <c r="AG28" i="12"/>
  <c r="AF28" i="12"/>
  <c r="AE28" i="12"/>
  <c r="AD28" i="12"/>
  <c r="AQ28" i="12"/>
  <c r="AC28" i="12"/>
  <c r="AB28" i="12"/>
  <c r="AA28" i="12"/>
  <c r="W28" i="12"/>
  <c r="X28" i="12"/>
  <c r="V28" i="12"/>
  <c r="U28" i="12"/>
  <c r="M28" i="12"/>
  <c r="L28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W27" i="12"/>
  <c r="V27" i="12"/>
  <c r="U27" i="12"/>
  <c r="M27" i="12"/>
  <c r="L27" i="12"/>
  <c r="AN26" i="12"/>
  <c r="AM26" i="12"/>
  <c r="AL26" i="12"/>
  <c r="AK26" i="12"/>
  <c r="AJ26" i="12"/>
  <c r="O26" i="12"/>
  <c r="AI26" i="12"/>
  <c r="AH26" i="12"/>
  <c r="AG26" i="12"/>
  <c r="AF26" i="12"/>
  <c r="AE26" i="12"/>
  <c r="AD26" i="12"/>
  <c r="AC26" i="12"/>
  <c r="AB26" i="12"/>
  <c r="AA26" i="12"/>
  <c r="W26" i="12"/>
  <c r="V26" i="12"/>
  <c r="U26" i="12"/>
  <c r="M26" i="12"/>
  <c r="L26" i="12"/>
  <c r="AN25" i="12"/>
  <c r="AM25" i="12"/>
  <c r="AL25" i="12"/>
  <c r="AK25" i="12"/>
  <c r="AJ25" i="12"/>
  <c r="AI25" i="12"/>
  <c r="AT25" i="12"/>
  <c r="AH25" i="12"/>
  <c r="AG25" i="12"/>
  <c r="AF25" i="12"/>
  <c r="AE25" i="12"/>
  <c r="AD25" i="12"/>
  <c r="AC25" i="12"/>
  <c r="AB25" i="12"/>
  <c r="AA25" i="12"/>
  <c r="W25" i="12"/>
  <c r="V25" i="12"/>
  <c r="U25" i="12"/>
  <c r="M25" i="12"/>
  <c r="L25" i="12"/>
  <c r="AN24" i="12"/>
  <c r="AM24" i="12"/>
  <c r="AL24" i="12"/>
  <c r="AK24" i="12"/>
  <c r="AJ24" i="12"/>
  <c r="AI24" i="12"/>
  <c r="AH24" i="12"/>
  <c r="AG24" i="12"/>
  <c r="AF24" i="12"/>
  <c r="AE24" i="12"/>
  <c r="AD24" i="12"/>
  <c r="AQ24" i="12"/>
  <c r="AC24" i="12"/>
  <c r="AB24" i="12"/>
  <c r="AA24" i="12"/>
  <c r="W24" i="12"/>
  <c r="X24" i="12"/>
  <c r="V24" i="12"/>
  <c r="U24" i="12"/>
  <c r="M24" i="12"/>
  <c r="L24" i="12"/>
  <c r="AN23" i="12"/>
  <c r="AM23" i="12"/>
  <c r="AL23" i="12"/>
  <c r="AK23" i="12"/>
  <c r="T23" i="12"/>
  <c r="AJ23" i="12"/>
  <c r="AI23" i="12"/>
  <c r="AH23" i="12"/>
  <c r="AG23" i="12"/>
  <c r="AS23" i="12"/>
  <c r="AF23" i="12"/>
  <c r="AE23" i="12"/>
  <c r="AD23" i="12"/>
  <c r="AC23" i="12"/>
  <c r="AB23" i="12"/>
  <c r="AA23" i="12"/>
  <c r="W23" i="12"/>
  <c r="V23" i="12"/>
  <c r="U23" i="12"/>
  <c r="M23" i="12"/>
  <c r="L23" i="12"/>
  <c r="AN22" i="12"/>
  <c r="AM22" i="12"/>
  <c r="AL22" i="12"/>
  <c r="AK22" i="12"/>
  <c r="AJ22" i="12"/>
  <c r="AT22" i="12"/>
  <c r="AI22" i="12"/>
  <c r="AH22" i="12"/>
  <c r="AG22" i="12"/>
  <c r="AF22" i="12"/>
  <c r="AE22" i="12"/>
  <c r="AD22" i="12"/>
  <c r="AC22" i="12"/>
  <c r="AB22" i="12"/>
  <c r="AA22" i="12"/>
  <c r="W22" i="12"/>
  <c r="V22" i="12"/>
  <c r="U22" i="12"/>
  <c r="M22" i="12"/>
  <c r="L22" i="12"/>
  <c r="AN21" i="12"/>
  <c r="AM21" i="12"/>
  <c r="AL21" i="12"/>
  <c r="AK21" i="12"/>
  <c r="AJ21" i="12"/>
  <c r="AI21" i="12"/>
  <c r="AT21" i="12"/>
  <c r="AH21" i="12"/>
  <c r="AG21" i="12"/>
  <c r="AF21" i="12"/>
  <c r="AE21" i="12"/>
  <c r="AD21" i="12"/>
  <c r="AC21" i="12"/>
  <c r="AB21" i="12"/>
  <c r="AA21" i="12"/>
  <c r="W21" i="12"/>
  <c r="V21" i="12"/>
  <c r="U21" i="12"/>
  <c r="M21" i="12"/>
  <c r="L21" i="12"/>
  <c r="AN20" i="12"/>
  <c r="AM20" i="12"/>
  <c r="AL20" i="12"/>
  <c r="T20" i="12"/>
  <c r="AK20" i="12"/>
  <c r="AJ20" i="12"/>
  <c r="AI20" i="12"/>
  <c r="AH20" i="12"/>
  <c r="AG20" i="12"/>
  <c r="AF20" i="12"/>
  <c r="AE20" i="12"/>
  <c r="AD20" i="12"/>
  <c r="AQ20" i="12"/>
  <c r="AC20" i="12"/>
  <c r="AB20" i="12"/>
  <c r="AA20" i="12"/>
  <c r="W20" i="12"/>
  <c r="X20" i="12"/>
  <c r="V20" i="12"/>
  <c r="U20" i="12"/>
  <c r="M20" i="12"/>
  <c r="L20" i="12"/>
  <c r="AN19" i="12"/>
  <c r="AM19" i="12"/>
  <c r="AL19" i="12"/>
  <c r="AK19" i="12"/>
  <c r="AU19" i="12"/>
  <c r="AJ19" i="12"/>
  <c r="AI19" i="12"/>
  <c r="AH19" i="12"/>
  <c r="AG19" i="12"/>
  <c r="AF19" i="12"/>
  <c r="AE19" i="12"/>
  <c r="AD19" i="12"/>
  <c r="AC19" i="12"/>
  <c r="Q19" i="12"/>
  <c r="AB19" i="12"/>
  <c r="AA19" i="12"/>
  <c r="W19" i="12"/>
  <c r="V19" i="12"/>
  <c r="X19" i="12"/>
  <c r="U19" i="12"/>
  <c r="M19" i="12"/>
  <c r="L19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S18" i="12"/>
  <c r="AA18" i="12"/>
  <c r="W18" i="12"/>
  <c r="V18" i="12"/>
  <c r="U18" i="12"/>
  <c r="M18" i="12"/>
  <c r="L18" i="12"/>
  <c r="AN17" i="12"/>
  <c r="AM17" i="12"/>
  <c r="AL17" i="12"/>
  <c r="AK17" i="12"/>
  <c r="AJ17" i="12"/>
  <c r="AI17" i="12"/>
  <c r="AT17" i="12"/>
  <c r="AH17" i="12"/>
  <c r="AG17" i="12"/>
  <c r="AF17" i="12"/>
  <c r="AE17" i="12"/>
  <c r="R17" i="12"/>
  <c r="AD17" i="12"/>
  <c r="AC17" i="12"/>
  <c r="AB17" i="12"/>
  <c r="AA17" i="12"/>
  <c r="W17" i="12"/>
  <c r="V17" i="12"/>
  <c r="U17" i="12"/>
  <c r="M17" i="12"/>
  <c r="L17" i="12"/>
  <c r="AN16" i="12"/>
  <c r="AM16" i="12"/>
  <c r="AL16" i="12"/>
  <c r="AU16" i="12"/>
  <c r="AK16" i="12"/>
  <c r="AJ16" i="12"/>
  <c r="AI16" i="12"/>
  <c r="AH16" i="12"/>
  <c r="AS16" i="12"/>
  <c r="AG16" i="12"/>
  <c r="AF16" i="12"/>
  <c r="AE16" i="12"/>
  <c r="AD16" i="12"/>
  <c r="AC16" i="12"/>
  <c r="AB16" i="12"/>
  <c r="AA16" i="12"/>
  <c r="W16" i="12"/>
  <c r="V16" i="12"/>
  <c r="U16" i="12"/>
  <c r="M16" i="12"/>
  <c r="L16" i="12"/>
  <c r="AN15" i="12"/>
  <c r="AM15" i="12"/>
  <c r="AL15" i="12"/>
  <c r="AK15" i="12"/>
  <c r="AU15" i="12"/>
  <c r="AJ15" i="12"/>
  <c r="AI15" i="12"/>
  <c r="AH15" i="12"/>
  <c r="AG15" i="12"/>
  <c r="N15" i="12"/>
  <c r="AF15" i="12"/>
  <c r="AE15" i="12"/>
  <c r="AD15" i="12"/>
  <c r="AC15" i="12"/>
  <c r="AQ15" i="12"/>
  <c r="AB15" i="12"/>
  <c r="AA15" i="12"/>
  <c r="W15" i="12"/>
  <c r="V15" i="12"/>
  <c r="U15" i="12"/>
  <c r="M15" i="12"/>
  <c r="L15" i="12"/>
  <c r="AN14" i="12"/>
  <c r="AV14" i="12"/>
  <c r="AM14" i="12"/>
  <c r="AL14" i="12"/>
  <c r="AK14" i="12"/>
  <c r="AJ14" i="12"/>
  <c r="O14" i="12"/>
  <c r="AI14" i="12"/>
  <c r="AH14" i="12"/>
  <c r="AG14" i="12"/>
  <c r="AF14" i="12"/>
  <c r="R14" i="12"/>
  <c r="AE14" i="12"/>
  <c r="AD14" i="12"/>
  <c r="AC14" i="12"/>
  <c r="AB14" i="12"/>
  <c r="AP14" i="12"/>
  <c r="AA14" i="12"/>
  <c r="W14" i="12"/>
  <c r="V14" i="12"/>
  <c r="U14" i="12"/>
  <c r="M14" i="12"/>
  <c r="L14" i="12"/>
  <c r="AN13" i="12"/>
  <c r="AM13" i="12"/>
  <c r="AV13" i="12"/>
  <c r="AL13" i="12"/>
  <c r="AK13" i="12"/>
  <c r="AJ13" i="12"/>
  <c r="AI13" i="12"/>
  <c r="AT13" i="12"/>
  <c r="AH13" i="12"/>
  <c r="AG13" i="12"/>
  <c r="AF13" i="12"/>
  <c r="AE13" i="12"/>
  <c r="R13" i="12"/>
  <c r="AD13" i="12"/>
  <c r="AC13" i="12"/>
  <c r="AB13" i="12"/>
  <c r="AA13" i="12"/>
  <c r="AP13" i="12"/>
  <c r="W13" i="12"/>
  <c r="V13" i="12"/>
  <c r="U13" i="12"/>
  <c r="M13" i="12"/>
  <c r="L13" i="12"/>
  <c r="AN12" i="12"/>
  <c r="AM12" i="12"/>
  <c r="AL12" i="12"/>
  <c r="T12" i="12"/>
  <c r="AK12" i="12"/>
  <c r="AJ12" i="12"/>
  <c r="AI12" i="12"/>
  <c r="AH12" i="12"/>
  <c r="AS12" i="12"/>
  <c r="AG12" i="12"/>
  <c r="AF12" i="12"/>
  <c r="AE12" i="12"/>
  <c r="AD12" i="12"/>
  <c r="AQ12" i="12"/>
  <c r="AC12" i="12"/>
  <c r="AB12" i="12"/>
  <c r="AA12" i="12"/>
  <c r="W12" i="12"/>
  <c r="V12" i="12"/>
  <c r="U12" i="12"/>
  <c r="M12" i="12"/>
  <c r="L12" i="12"/>
  <c r="AN11" i="12"/>
  <c r="AM11" i="12"/>
  <c r="AL11" i="12"/>
  <c r="AK11" i="12"/>
  <c r="AU11" i="12"/>
  <c r="AJ11" i="12"/>
  <c r="AI11" i="12"/>
  <c r="AH11" i="12"/>
  <c r="AG11" i="12"/>
  <c r="AF11" i="12"/>
  <c r="AE11" i="12"/>
  <c r="AD11" i="12"/>
  <c r="AC11" i="12"/>
  <c r="Q11" i="12"/>
  <c r="AB11" i="12"/>
  <c r="AA11" i="12"/>
  <c r="W11" i="12"/>
  <c r="V11" i="12"/>
  <c r="U11" i="12"/>
  <c r="M11" i="12"/>
  <c r="L11" i="12"/>
  <c r="AN10" i="12"/>
  <c r="P10" i="12"/>
  <c r="AM10" i="12"/>
  <c r="AL10" i="12"/>
  <c r="AK10" i="12"/>
  <c r="AJ10" i="12"/>
  <c r="AT10" i="12"/>
  <c r="AI10" i="12"/>
  <c r="AH10" i="12"/>
  <c r="AG10" i="12"/>
  <c r="AF10" i="12"/>
  <c r="AR10" i="12"/>
  <c r="AE10" i="12"/>
  <c r="AD10" i="12"/>
  <c r="AC10" i="12"/>
  <c r="AB10" i="12"/>
  <c r="AP10" i="12"/>
  <c r="AA10" i="12"/>
  <c r="W10" i="12"/>
  <c r="V10" i="12"/>
  <c r="U10" i="12"/>
  <c r="X10" i="12"/>
  <c r="M10" i="12"/>
  <c r="L10" i="12"/>
  <c r="AN9" i="12"/>
  <c r="AM9" i="12"/>
  <c r="P9" i="12"/>
  <c r="AL9" i="12"/>
  <c r="AK9" i="12"/>
  <c r="AJ9" i="12"/>
  <c r="AI9" i="12"/>
  <c r="AT9" i="12"/>
  <c r="AH9" i="12"/>
  <c r="AG9" i="12"/>
  <c r="AF9" i="12"/>
  <c r="AE9" i="12"/>
  <c r="AD9" i="12"/>
  <c r="AC9" i="12"/>
  <c r="AB9" i="12"/>
  <c r="AA9" i="12"/>
  <c r="AP9" i="12"/>
  <c r="W9" i="12"/>
  <c r="V9" i="12"/>
  <c r="U9" i="12"/>
  <c r="M9" i="12"/>
  <c r="L9" i="12"/>
  <c r="AN8" i="12"/>
  <c r="AM8" i="12"/>
  <c r="AL8" i="12"/>
  <c r="T8" i="12"/>
  <c r="AK8" i="12"/>
  <c r="AJ8" i="12"/>
  <c r="AI8" i="12"/>
  <c r="AH8" i="12"/>
  <c r="AS8" i="12"/>
  <c r="AG8" i="12"/>
  <c r="AF8" i="12"/>
  <c r="AE8" i="12"/>
  <c r="AD8" i="12"/>
  <c r="AC8" i="12"/>
  <c r="AB8" i="12"/>
  <c r="AA8" i="12"/>
  <c r="W8" i="12"/>
  <c r="X8" i="12"/>
  <c r="V8" i="12"/>
  <c r="U8" i="12"/>
  <c r="M8" i="12"/>
  <c r="L8" i="12"/>
  <c r="AN7" i="12"/>
  <c r="AM7" i="12"/>
  <c r="AL7" i="12"/>
  <c r="AK7" i="12"/>
  <c r="T7" i="12"/>
  <c r="AJ7" i="12"/>
  <c r="AI7" i="12"/>
  <c r="AH7" i="12"/>
  <c r="AG7" i="12"/>
  <c r="N7" i="12"/>
  <c r="AF7" i="12"/>
  <c r="AE7" i="12"/>
  <c r="AD7" i="12"/>
  <c r="AC7" i="12"/>
  <c r="Q7" i="12"/>
  <c r="AB7" i="12"/>
  <c r="AA7" i="12"/>
  <c r="W7" i="12"/>
  <c r="V7" i="12"/>
  <c r="X7" i="12"/>
  <c r="U7" i="12"/>
  <c r="M7" i="12"/>
  <c r="L7" i="12"/>
  <c r="AN6" i="12"/>
  <c r="AM6" i="12"/>
  <c r="AL6" i="12"/>
  <c r="AK6" i="12"/>
  <c r="AJ6" i="12"/>
  <c r="AT6" i="12"/>
  <c r="AI6" i="12"/>
  <c r="AH6" i="12"/>
  <c r="AG6" i="12"/>
  <c r="AS6" i="12"/>
  <c r="AF6" i="12"/>
  <c r="AR6" i="12"/>
  <c r="AE6" i="12"/>
  <c r="AD6" i="12"/>
  <c r="AC6" i="12"/>
  <c r="AB6" i="12"/>
  <c r="AP6" i="12"/>
  <c r="AA6" i="12"/>
  <c r="W6" i="12"/>
  <c r="V6" i="12"/>
  <c r="U6" i="12"/>
  <c r="X6" i="12"/>
  <c r="M6" i="12"/>
  <c r="L6" i="12"/>
  <c r="AN5" i="12"/>
  <c r="AM5" i="12"/>
  <c r="P5" i="12"/>
  <c r="AL5" i="12"/>
  <c r="AK5" i="12"/>
  <c r="AJ5" i="12"/>
  <c r="AI5" i="12"/>
  <c r="AH5" i="12"/>
  <c r="AG5" i="12"/>
  <c r="AF5" i="12"/>
  <c r="AE5" i="12"/>
  <c r="R5" i="12"/>
  <c r="AD5" i="12"/>
  <c r="AC5" i="12"/>
  <c r="AB5" i="12"/>
  <c r="AA5" i="12"/>
  <c r="AP5" i="12"/>
  <c r="W5" i="12"/>
  <c r="V5" i="12"/>
  <c r="U5" i="12"/>
  <c r="X5" i="12"/>
  <c r="M5" i="12"/>
  <c r="L5" i="12"/>
  <c r="AV59" i="12"/>
  <c r="AU59" i="12"/>
  <c r="AT59" i="12"/>
  <c r="AS59" i="12"/>
  <c r="AR59" i="12"/>
  <c r="AQ59" i="12"/>
  <c r="AP59" i="12"/>
  <c r="AV56" i="12"/>
  <c r="AR56" i="12"/>
  <c r="O56" i="12"/>
  <c r="R56" i="12"/>
  <c r="Q56" i="12"/>
  <c r="S56" i="12"/>
  <c r="P56" i="12"/>
  <c r="AV55" i="12"/>
  <c r="AR55" i="12"/>
  <c r="AU55" i="12"/>
  <c r="O55" i="12"/>
  <c r="R55" i="12"/>
  <c r="AQ55" i="12"/>
  <c r="S55" i="12"/>
  <c r="T55" i="12"/>
  <c r="P55" i="12"/>
  <c r="AR54" i="12"/>
  <c r="AU54" i="12"/>
  <c r="AS54" i="12"/>
  <c r="R54" i="12"/>
  <c r="AQ54" i="12"/>
  <c r="Q54" i="12"/>
  <c r="X54" i="12"/>
  <c r="T54" i="12"/>
  <c r="N54" i="12"/>
  <c r="AV53" i="12"/>
  <c r="AU53" i="12"/>
  <c r="AS53" i="12"/>
  <c r="AQ53" i="12"/>
  <c r="Q53" i="12"/>
  <c r="S53" i="12"/>
  <c r="X53" i="12"/>
  <c r="T53" i="12"/>
  <c r="N53" i="12"/>
  <c r="AV52" i="12"/>
  <c r="AR52" i="12"/>
  <c r="O52" i="12"/>
  <c r="R52" i="12"/>
  <c r="Q52" i="12"/>
  <c r="S52" i="12"/>
  <c r="P52" i="12"/>
  <c r="AV51" i="12"/>
  <c r="AR51" i="12"/>
  <c r="O51" i="12"/>
  <c r="R51" i="12"/>
  <c r="S51" i="12"/>
  <c r="X51" i="12"/>
  <c r="P51" i="12"/>
  <c r="AU50" i="12"/>
  <c r="O50" i="12"/>
  <c r="AS50" i="12"/>
  <c r="AQ50" i="12"/>
  <c r="Q50" i="12"/>
  <c r="T50" i="12"/>
  <c r="P50" i="12"/>
  <c r="N50" i="12"/>
  <c r="AU49" i="12"/>
  <c r="AS49" i="12"/>
  <c r="AQ49" i="12"/>
  <c r="Q49" i="12"/>
  <c r="X49" i="12"/>
  <c r="T49" i="12"/>
  <c r="R49" i="12"/>
  <c r="N49" i="12"/>
  <c r="AV48" i="12"/>
  <c r="AR48" i="12"/>
  <c r="AP48" i="12"/>
  <c r="O48" i="12"/>
  <c r="S48" i="12"/>
  <c r="R48" i="12"/>
  <c r="P48" i="12"/>
  <c r="AV47" i="12"/>
  <c r="AR47" i="12"/>
  <c r="AP47" i="12"/>
  <c r="O47" i="12"/>
  <c r="S47" i="12"/>
  <c r="X47" i="12"/>
  <c r="R47" i="12"/>
  <c r="P47" i="12"/>
  <c r="AU46" i="12"/>
  <c r="O46" i="12"/>
  <c r="AS46" i="12"/>
  <c r="N46" i="12"/>
  <c r="AQ46" i="12"/>
  <c r="Q46" i="12"/>
  <c r="T46" i="12"/>
  <c r="AP45" i="12"/>
  <c r="AU45" i="12"/>
  <c r="AS45" i="12"/>
  <c r="N45" i="12"/>
  <c r="AQ45" i="12"/>
  <c r="Q45" i="12"/>
  <c r="X45" i="12"/>
  <c r="T45" i="12"/>
  <c r="AV44" i="12"/>
  <c r="AR44" i="12"/>
  <c r="AP44" i="12"/>
  <c r="AU44" i="12"/>
  <c r="O44" i="12"/>
  <c r="S44" i="12"/>
  <c r="T44" i="12"/>
  <c r="R44" i="12"/>
  <c r="P44" i="12"/>
  <c r="AV43" i="12"/>
  <c r="AR43" i="12"/>
  <c r="AP43" i="12"/>
  <c r="O43" i="12"/>
  <c r="S43" i="12"/>
  <c r="R43" i="12"/>
  <c r="P43" i="12"/>
  <c r="AU42" i="12"/>
  <c r="AS42" i="12"/>
  <c r="N42" i="12"/>
  <c r="AQ42" i="12"/>
  <c r="Q42" i="12"/>
  <c r="X42" i="12"/>
  <c r="T42" i="12"/>
  <c r="AU41" i="12"/>
  <c r="O41" i="12"/>
  <c r="AS41" i="12"/>
  <c r="N41" i="12"/>
  <c r="AQ41" i="12"/>
  <c r="Q41" i="12"/>
  <c r="X41" i="12"/>
  <c r="T41" i="12"/>
  <c r="R41" i="12"/>
  <c r="AV40" i="12"/>
  <c r="AR40" i="12"/>
  <c r="AP40" i="12"/>
  <c r="O40" i="12"/>
  <c r="N40" i="12"/>
  <c r="S40" i="12"/>
  <c r="R40" i="12"/>
  <c r="P40" i="12"/>
  <c r="AV39" i="12"/>
  <c r="AR39" i="12"/>
  <c r="AP39" i="12"/>
  <c r="O39" i="12"/>
  <c r="S39" i="12"/>
  <c r="R39" i="12"/>
  <c r="P39" i="12"/>
  <c r="AU38" i="12"/>
  <c r="AS38" i="12"/>
  <c r="N38" i="12"/>
  <c r="AQ38" i="12"/>
  <c r="Q38" i="12"/>
  <c r="S38" i="12"/>
  <c r="X38" i="12"/>
  <c r="T38" i="12"/>
  <c r="AV37" i="12"/>
  <c r="AU37" i="12"/>
  <c r="AS37" i="12"/>
  <c r="N37" i="12"/>
  <c r="AQ37" i="12"/>
  <c r="Q37" i="12"/>
  <c r="X37" i="12"/>
  <c r="T37" i="12"/>
  <c r="R37" i="12"/>
  <c r="AV36" i="12"/>
  <c r="AR36" i="12"/>
  <c r="AP36" i="12"/>
  <c r="O36" i="12"/>
  <c r="S36" i="12"/>
  <c r="R36" i="12"/>
  <c r="P36" i="12"/>
  <c r="AV35" i="12"/>
  <c r="P35" i="12"/>
  <c r="AT35" i="12"/>
  <c r="AP35" i="12"/>
  <c r="S35" i="12"/>
  <c r="O35" i="12"/>
  <c r="N34" i="12"/>
  <c r="AQ34" i="12"/>
  <c r="O34" i="12"/>
  <c r="AU33" i="12"/>
  <c r="AQ33" i="12"/>
  <c r="T33" i="12"/>
  <c r="AT33" i="12"/>
  <c r="N33" i="12"/>
  <c r="Q33" i="12"/>
  <c r="AV32" i="12"/>
  <c r="P32" i="12"/>
  <c r="AT32" i="12"/>
  <c r="O32" i="12"/>
  <c r="AS31" i="12"/>
  <c r="AV31" i="12"/>
  <c r="P31" i="12"/>
  <c r="T31" i="12"/>
  <c r="AT31" i="12"/>
  <c r="AP31" i="12"/>
  <c r="S31" i="12"/>
  <c r="O31" i="12"/>
  <c r="AQ30" i="12"/>
  <c r="AT30" i="12"/>
  <c r="N30" i="12"/>
  <c r="Q30" i="12"/>
  <c r="AU29" i="12"/>
  <c r="AQ29" i="12"/>
  <c r="T29" i="12"/>
  <c r="N29" i="12"/>
  <c r="Q29" i="12"/>
  <c r="AV28" i="12"/>
  <c r="P28" i="12"/>
  <c r="T28" i="12"/>
  <c r="AT28" i="12"/>
  <c r="O28" i="12"/>
  <c r="T27" i="12"/>
  <c r="AT27" i="12"/>
  <c r="AP27" i="12"/>
  <c r="X27" i="12"/>
  <c r="S27" i="12"/>
  <c r="O27" i="12"/>
  <c r="AQ26" i="12"/>
  <c r="AT26" i="12"/>
  <c r="N26" i="12"/>
  <c r="Q26" i="12"/>
  <c r="AU25" i="12"/>
  <c r="AQ25" i="12"/>
  <c r="T25" i="12"/>
  <c r="AS25" i="12"/>
  <c r="N25" i="12"/>
  <c r="Q25" i="12"/>
  <c r="AT24" i="12"/>
  <c r="AS24" i="12"/>
  <c r="AT23" i="12"/>
  <c r="AP23" i="12"/>
  <c r="X23" i="12"/>
  <c r="S23" i="12"/>
  <c r="O23" i="12"/>
  <c r="AS22" i="12"/>
  <c r="AQ22" i="12"/>
  <c r="AU21" i="12"/>
  <c r="AQ21" i="12"/>
  <c r="T21" i="12"/>
  <c r="AS21" i="12"/>
  <c r="N21" i="12"/>
  <c r="Q21" i="12"/>
  <c r="AT20" i="12"/>
  <c r="AS20" i="12"/>
  <c r="AT19" i="12"/>
  <c r="AQ19" i="12"/>
  <c r="AP19" i="12"/>
  <c r="O19" i="12"/>
  <c r="AP18" i="12"/>
  <c r="AU18" i="12"/>
  <c r="AS18" i="12"/>
  <c r="Q18" i="12"/>
  <c r="X18" i="12"/>
  <c r="AS17" i="12"/>
  <c r="AR17" i="12"/>
  <c r="AV17" i="12"/>
  <c r="AU17" i="12"/>
  <c r="AQ17" i="12"/>
  <c r="AP17" i="12"/>
  <c r="Q17" i="12"/>
  <c r="N17" i="12"/>
  <c r="AR16" i="12"/>
  <c r="AV16" i="12"/>
  <c r="AT16" i="12"/>
  <c r="AP16" i="12"/>
  <c r="R16" i="12"/>
  <c r="O16" i="12"/>
  <c r="AS15" i="12"/>
  <c r="AR15" i="12"/>
  <c r="AV15" i="12"/>
  <c r="AT15" i="12"/>
  <c r="AP15" i="12"/>
  <c r="R15" i="12"/>
  <c r="O15" i="12"/>
  <c r="AS14" i="12"/>
  <c r="AU14" i="12"/>
  <c r="AT14" i="12"/>
  <c r="AQ14" i="12"/>
  <c r="Q14" i="12"/>
  <c r="N14" i="12"/>
  <c r="AS13" i="12"/>
  <c r="AU13" i="12"/>
  <c r="AQ13" i="12"/>
  <c r="Q13" i="12"/>
  <c r="O13" i="12"/>
  <c r="N13" i="12"/>
  <c r="AR12" i="12"/>
  <c r="AV12" i="12"/>
  <c r="AU12" i="12"/>
  <c r="AT12" i="12"/>
  <c r="AP12" i="12"/>
  <c r="S12" i="12"/>
  <c r="R12" i="12"/>
  <c r="AV11" i="12"/>
  <c r="P11" i="12"/>
  <c r="O11" i="12"/>
  <c r="AR11" i="12"/>
  <c r="R11" i="12"/>
  <c r="AP11" i="12"/>
  <c r="S11" i="12"/>
  <c r="X11" i="12"/>
  <c r="T10" i="12"/>
  <c r="AS10" i="12"/>
  <c r="AQ10" i="12"/>
  <c r="R10" i="12"/>
  <c r="Q10" i="12"/>
  <c r="T9" i="12"/>
  <c r="N9" i="12"/>
  <c r="AQ9" i="12"/>
  <c r="X9" i="12"/>
  <c r="Q9" i="12"/>
  <c r="P8" i="12"/>
  <c r="AT8" i="12"/>
  <c r="AR8" i="12"/>
  <c r="AQ8" i="12"/>
  <c r="AP8" i="12"/>
  <c r="R8" i="12"/>
  <c r="Q8" i="12"/>
  <c r="P7" i="12"/>
  <c r="AT7" i="12"/>
  <c r="AR7" i="12"/>
  <c r="AP7" i="12"/>
  <c r="R7" i="12"/>
  <c r="P6" i="12"/>
  <c r="T6" i="12"/>
  <c r="AQ6" i="12"/>
  <c r="R6" i="12"/>
  <c r="Q6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T5" i="12"/>
  <c r="AT5" i="12"/>
  <c r="N5" i="12"/>
  <c r="AQ5" i="12"/>
  <c r="Q5" i="12"/>
  <c r="T1" i="12"/>
  <c r="S1" i="12"/>
  <c r="R1" i="12"/>
  <c r="Q1" i="12"/>
  <c r="P1" i="12"/>
  <c r="O1" i="12"/>
  <c r="N1" i="12"/>
  <c r="AN30" i="11"/>
  <c r="AM30" i="11"/>
  <c r="P30" i="11"/>
  <c r="AL30" i="11"/>
  <c r="AK30" i="11"/>
  <c r="T30" i="11"/>
  <c r="AJ30" i="11"/>
  <c r="AI30" i="11"/>
  <c r="AH30" i="11"/>
  <c r="AG30" i="11"/>
  <c r="N30" i="11"/>
  <c r="AF30" i="11"/>
  <c r="AE30" i="11"/>
  <c r="AD30" i="11"/>
  <c r="AC30" i="11"/>
  <c r="Q30" i="11"/>
  <c r="AB30" i="11"/>
  <c r="AA30" i="11"/>
  <c r="S30" i="11"/>
  <c r="M30" i="11"/>
  <c r="L30" i="11"/>
  <c r="AN29" i="11"/>
  <c r="P29" i="11"/>
  <c r="AM29" i="11"/>
  <c r="AL29" i="11"/>
  <c r="AK29" i="11"/>
  <c r="AJ29" i="11"/>
  <c r="AI29" i="11"/>
  <c r="AH29" i="11"/>
  <c r="AG29" i="11"/>
  <c r="AF29" i="11"/>
  <c r="R29" i="11"/>
  <c r="AE29" i="11"/>
  <c r="AD29" i="11"/>
  <c r="AC29" i="11"/>
  <c r="Q29" i="11"/>
  <c r="AB29" i="11"/>
  <c r="S29" i="11"/>
  <c r="AA29" i="11"/>
  <c r="M29" i="11"/>
  <c r="L29" i="11"/>
  <c r="AN28" i="11"/>
  <c r="AM28" i="11"/>
  <c r="AL28" i="11"/>
  <c r="T28" i="11"/>
  <c r="AK28" i="11"/>
  <c r="AJ28" i="11"/>
  <c r="AI28" i="11"/>
  <c r="AH28" i="11"/>
  <c r="N28" i="11"/>
  <c r="AG28" i="11"/>
  <c r="AF28" i="11"/>
  <c r="AE28" i="11"/>
  <c r="AD28" i="11"/>
  <c r="Q28" i="11"/>
  <c r="AC28" i="11"/>
  <c r="AB28" i="11"/>
  <c r="AA28" i="11"/>
  <c r="X28" i="11"/>
  <c r="M28" i="11"/>
  <c r="L28" i="11"/>
  <c r="AN27" i="11"/>
  <c r="AM27" i="11"/>
  <c r="AL27" i="11"/>
  <c r="AK27" i="11"/>
  <c r="T27" i="11"/>
  <c r="AJ27" i="11"/>
  <c r="AI27" i="11"/>
  <c r="AH27" i="11"/>
  <c r="AG27" i="11"/>
  <c r="N27" i="11"/>
  <c r="AF27" i="11"/>
  <c r="AE27" i="11"/>
  <c r="AD27" i="11"/>
  <c r="AC27" i="11"/>
  <c r="Q27" i="11"/>
  <c r="AB27" i="11"/>
  <c r="AA27" i="11"/>
  <c r="M27" i="11"/>
  <c r="L27" i="11"/>
  <c r="AN26" i="11"/>
  <c r="AM26" i="11"/>
  <c r="AL26" i="11"/>
  <c r="AK26" i="11"/>
  <c r="T26" i="11"/>
  <c r="AJ26" i="11"/>
  <c r="AI26" i="11"/>
  <c r="AH26" i="11"/>
  <c r="AG26" i="11"/>
  <c r="N26" i="11"/>
  <c r="AF26" i="11"/>
  <c r="AE26" i="11"/>
  <c r="AD26" i="11"/>
  <c r="AC26" i="11"/>
  <c r="Q26" i="11"/>
  <c r="AB26" i="11"/>
  <c r="AA26" i="11"/>
  <c r="M26" i="11"/>
  <c r="L26" i="11"/>
  <c r="AN25" i="11"/>
  <c r="P25" i="11"/>
  <c r="AM25" i="11"/>
  <c r="AL25" i="11"/>
  <c r="AK25" i="11"/>
  <c r="AJ25" i="11"/>
  <c r="O25" i="11"/>
  <c r="AI25" i="11"/>
  <c r="AH25" i="11"/>
  <c r="AG25" i="11"/>
  <c r="AF25" i="11"/>
  <c r="R25" i="11"/>
  <c r="AE25" i="11"/>
  <c r="AD25" i="11"/>
  <c r="AC25" i="11"/>
  <c r="Q25" i="11"/>
  <c r="AB25" i="11"/>
  <c r="S25" i="11"/>
  <c r="AA25" i="11"/>
  <c r="X25" i="11"/>
  <c r="M25" i="11"/>
  <c r="L25" i="11"/>
  <c r="AN24" i="11"/>
  <c r="AM24" i="11"/>
  <c r="AL24" i="11"/>
  <c r="AK24" i="11"/>
  <c r="T24" i="11"/>
  <c r="AJ24" i="11"/>
  <c r="AI24" i="11"/>
  <c r="AH24" i="11"/>
  <c r="AG24" i="11"/>
  <c r="N24" i="11"/>
  <c r="AF24" i="11"/>
  <c r="AE24" i="11"/>
  <c r="AD24" i="11"/>
  <c r="AC24" i="11"/>
  <c r="Q24" i="11"/>
  <c r="AB24" i="11"/>
  <c r="AA24" i="11"/>
  <c r="M24" i="11"/>
  <c r="L24" i="11"/>
  <c r="AN23" i="11"/>
  <c r="AM23" i="11"/>
  <c r="AL23" i="11"/>
  <c r="AK23" i="11"/>
  <c r="T23" i="11"/>
  <c r="AJ23" i="11"/>
  <c r="AI23" i="11"/>
  <c r="AH23" i="11"/>
  <c r="AG23" i="11"/>
  <c r="N23" i="11"/>
  <c r="AF23" i="11"/>
  <c r="AE23" i="11"/>
  <c r="AD23" i="11"/>
  <c r="AC23" i="11"/>
  <c r="Q23" i="11"/>
  <c r="AB23" i="11"/>
  <c r="AA23" i="11"/>
  <c r="M23" i="11"/>
  <c r="L23" i="11"/>
  <c r="AN22" i="11"/>
  <c r="AM22" i="11"/>
  <c r="P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S22" i="11"/>
  <c r="M22" i="11"/>
  <c r="L22" i="11"/>
  <c r="AN21" i="11"/>
  <c r="AM21" i="11"/>
  <c r="AL21" i="11"/>
  <c r="AK21" i="11"/>
  <c r="T21" i="11"/>
  <c r="AJ21" i="11"/>
  <c r="AI21" i="11"/>
  <c r="AH21" i="11"/>
  <c r="AG21" i="11"/>
  <c r="N21" i="11"/>
  <c r="AF21" i="11"/>
  <c r="AE21" i="11"/>
  <c r="AD21" i="11"/>
  <c r="AC21" i="11"/>
  <c r="Q21" i="11"/>
  <c r="AB21" i="11"/>
  <c r="AA21" i="11"/>
  <c r="M21" i="11"/>
  <c r="L21" i="11"/>
  <c r="AN20" i="11"/>
  <c r="AM20" i="11"/>
  <c r="AL20" i="11"/>
  <c r="AK20" i="11"/>
  <c r="T20" i="11"/>
  <c r="AJ20" i="11"/>
  <c r="AI20" i="11"/>
  <c r="AH20" i="11"/>
  <c r="AG20" i="11"/>
  <c r="N20" i="11"/>
  <c r="AF20" i="11"/>
  <c r="AE20" i="11"/>
  <c r="AD20" i="11"/>
  <c r="AC20" i="11"/>
  <c r="Q20" i="11"/>
  <c r="AB20" i="11"/>
  <c r="AA20" i="11"/>
  <c r="M20" i="11"/>
  <c r="L20" i="11"/>
  <c r="AN19" i="11"/>
  <c r="AM19" i="11"/>
  <c r="AL19" i="11"/>
  <c r="AK19" i="11"/>
  <c r="T19" i="11"/>
  <c r="AJ19" i="11"/>
  <c r="AI19" i="11"/>
  <c r="AH19" i="11"/>
  <c r="AG19" i="11"/>
  <c r="N19" i="11"/>
  <c r="AF19" i="11"/>
  <c r="AE19" i="11"/>
  <c r="AD19" i="11"/>
  <c r="AC19" i="11"/>
  <c r="Q19" i="11"/>
  <c r="AB19" i="11"/>
  <c r="AA19" i="11"/>
  <c r="M19" i="11"/>
  <c r="L19" i="11"/>
  <c r="AN18" i="11"/>
  <c r="AM18" i="11"/>
  <c r="AL18" i="11"/>
  <c r="AK18" i="11"/>
  <c r="T18" i="11"/>
  <c r="AJ18" i="11"/>
  <c r="AI18" i="11"/>
  <c r="AH18" i="11"/>
  <c r="AG18" i="11"/>
  <c r="N18" i="11"/>
  <c r="AF18" i="11"/>
  <c r="AE18" i="11"/>
  <c r="AD18" i="11"/>
  <c r="AC18" i="11"/>
  <c r="Q18" i="11"/>
  <c r="AB18" i="11"/>
  <c r="AA18" i="11"/>
  <c r="M18" i="11"/>
  <c r="L18" i="11"/>
  <c r="AN17" i="11"/>
  <c r="AM17" i="11"/>
  <c r="AL17" i="11"/>
  <c r="AK17" i="11"/>
  <c r="AJ17" i="11"/>
  <c r="O17" i="11"/>
  <c r="AI17" i="11"/>
  <c r="AH17" i="11"/>
  <c r="AG17" i="11"/>
  <c r="AF17" i="11"/>
  <c r="R17" i="11"/>
  <c r="AE17" i="11"/>
  <c r="AD17" i="11"/>
  <c r="Q17" i="11"/>
  <c r="AC17" i="11"/>
  <c r="AB17" i="11"/>
  <c r="AA17" i="11"/>
  <c r="X17" i="11"/>
  <c r="M17" i="11"/>
  <c r="L17" i="11"/>
  <c r="AN16" i="11"/>
  <c r="AM16" i="11"/>
  <c r="AL16" i="11"/>
  <c r="AK16" i="11"/>
  <c r="T16" i="11"/>
  <c r="AJ16" i="11"/>
  <c r="AI16" i="11"/>
  <c r="AH16" i="11"/>
  <c r="AG16" i="11"/>
  <c r="N16" i="11"/>
  <c r="AF16" i="11"/>
  <c r="AE16" i="11"/>
  <c r="AD16" i="11"/>
  <c r="AC16" i="11"/>
  <c r="Q16" i="11"/>
  <c r="AB16" i="11"/>
  <c r="AA16" i="11"/>
  <c r="M16" i="11"/>
  <c r="L16" i="11"/>
  <c r="AN15" i="11"/>
  <c r="AM15" i="11"/>
  <c r="AL15" i="11"/>
  <c r="AK15" i="11"/>
  <c r="T15" i="11"/>
  <c r="AJ15" i="11"/>
  <c r="AI15" i="11"/>
  <c r="AH15" i="11"/>
  <c r="AG15" i="11"/>
  <c r="N15" i="11"/>
  <c r="AF15" i="11"/>
  <c r="AE15" i="11"/>
  <c r="AD15" i="11"/>
  <c r="AC15" i="11"/>
  <c r="Q15" i="11"/>
  <c r="AB15" i="11"/>
  <c r="AA15" i="11"/>
  <c r="M15" i="11"/>
  <c r="L15" i="11"/>
  <c r="AN14" i="11"/>
  <c r="AM14" i="11"/>
  <c r="AL14" i="11"/>
  <c r="AK14" i="11"/>
  <c r="AJ14" i="11"/>
  <c r="AI14" i="11"/>
  <c r="AH14" i="11"/>
  <c r="AG14" i="11"/>
  <c r="N14" i="11"/>
  <c r="AF14" i="11"/>
  <c r="AE14" i="11"/>
  <c r="AD14" i="11"/>
  <c r="AC14" i="11"/>
  <c r="Q14" i="11"/>
  <c r="AB14" i="11"/>
  <c r="AA14" i="11"/>
  <c r="S14" i="11"/>
  <c r="M14" i="11"/>
  <c r="L14" i="11"/>
  <c r="AN13" i="11"/>
  <c r="AM13" i="11"/>
  <c r="AL13" i="11"/>
  <c r="AK13" i="11"/>
  <c r="T13" i="11"/>
  <c r="AJ13" i="11"/>
  <c r="AI13" i="11"/>
  <c r="AH13" i="11"/>
  <c r="AG13" i="11"/>
  <c r="N13" i="11"/>
  <c r="AF13" i="11"/>
  <c r="AE13" i="11"/>
  <c r="AD13" i="11"/>
  <c r="AC13" i="11"/>
  <c r="Q13" i="11"/>
  <c r="AB13" i="11"/>
  <c r="AA13" i="11"/>
  <c r="M13" i="11"/>
  <c r="L13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Q12" i="11"/>
  <c r="AB12" i="11"/>
  <c r="AA12" i="11"/>
  <c r="X12" i="11"/>
  <c r="M12" i="11"/>
  <c r="L12" i="11"/>
  <c r="AN11" i="11"/>
  <c r="AM11" i="11"/>
  <c r="AL11" i="11"/>
  <c r="AK11" i="11"/>
  <c r="T11" i="11"/>
  <c r="AJ11" i="11"/>
  <c r="AI11" i="11"/>
  <c r="AH11" i="11"/>
  <c r="AG11" i="11"/>
  <c r="N11" i="11"/>
  <c r="AF11" i="11"/>
  <c r="AE11" i="11"/>
  <c r="AD11" i="11"/>
  <c r="AC11" i="11"/>
  <c r="Q11" i="11"/>
  <c r="AB11" i="11"/>
  <c r="AA11" i="11"/>
  <c r="M11" i="11"/>
  <c r="L11" i="11"/>
  <c r="AN10" i="11"/>
  <c r="AM10" i="11"/>
  <c r="AL10" i="11"/>
  <c r="T10" i="11"/>
  <c r="AK10" i="11"/>
  <c r="AJ10" i="11"/>
  <c r="AI10" i="11"/>
  <c r="AH10" i="11"/>
  <c r="N10" i="11"/>
  <c r="AG10" i="11"/>
  <c r="AF10" i="11"/>
  <c r="AE10" i="11"/>
  <c r="AD10" i="11"/>
  <c r="Q10" i="11"/>
  <c r="AC10" i="11"/>
  <c r="AB10" i="11"/>
  <c r="AA10" i="11"/>
  <c r="X10" i="11"/>
  <c r="M10" i="11"/>
  <c r="L10" i="11"/>
  <c r="AN9" i="11"/>
  <c r="AM9" i="11"/>
  <c r="AL9" i="11"/>
  <c r="AK9" i="11"/>
  <c r="T9" i="11"/>
  <c r="AJ9" i="11"/>
  <c r="AI9" i="11"/>
  <c r="AH9" i="11"/>
  <c r="AG9" i="11"/>
  <c r="N9" i="11"/>
  <c r="Z9" i="11"/>
  <c r="AF9" i="11"/>
  <c r="AE9" i="11"/>
  <c r="AD9" i="11"/>
  <c r="AC9" i="11"/>
  <c r="AB9" i="11"/>
  <c r="AA9" i="11"/>
  <c r="X9" i="11"/>
  <c r="M9" i="11"/>
  <c r="L9" i="11"/>
  <c r="AN8" i="11"/>
  <c r="AM8" i="11"/>
  <c r="AL8" i="11"/>
  <c r="AK8" i="11"/>
  <c r="AJ8" i="11"/>
  <c r="AI8" i="11"/>
  <c r="AH8" i="11"/>
  <c r="AG8" i="11"/>
  <c r="N8" i="11"/>
  <c r="AF8" i="11"/>
  <c r="AE8" i="11"/>
  <c r="AD8" i="11"/>
  <c r="AC8" i="11"/>
  <c r="Q8" i="11"/>
  <c r="AB8" i="11"/>
  <c r="AA8" i="11"/>
  <c r="X8" i="11"/>
  <c r="M8" i="11"/>
  <c r="L8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Q7" i="11"/>
  <c r="AB7" i="11"/>
  <c r="AA7" i="11"/>
  <c r="X7" i="11"/>
  <c r="M7" i="11"/>
  <c r="L7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Q6" i="11"/>
  <c r="AB6" i="11"/>
  <c r="AA6" i="11"/>
  <c r="X6" i="11"/>
  <c r="M6" i="11"/>
  <c r="L6" i="11"/>
  <c r="O30" i="11"/>
  <c r="X30" i="11"/>
  <c r="R30" i="11"/>
  <c r="O29" i="11"/>
  <c r="N29" i="11"/>
  <c r="X29" i="11"/>
  <c r="T29" i="11"/>
  <c r="O28" i="11"/>
  <c r="S28" i="11"/>
  <c r="R28" i="11"/>
  <c r="P28" i="11"/>
  <c r="O27" i="11"/>
  <c r="S27" i="11"/>
  <c r="X27" i="11"/>
  <c r="R27" i="11"/>
  <c r="P27" i="11"/>
  <c r="O26" i="11"/>
  <c r="S26" i="11"/>
  <c r="X26" i="11"/>
  <c r="R26" i="11"/>
  <c r="P26" i="11"/>
  <c r="N25" i="11"/>
  <c r="T25" i="11"/>
  <c r="O24" i="11"/>
  <c r="S24" i="11"/>
  <c r="X24" i="11"/>
  <c r="R24" i="11"/>
  <c r="P24" i="11"/>
  <c r="O23" i="11"/>
  <c r="S23" i="11"/>
  <c r="X23" i="11"/>
  <c r="R23" i="11"/>
  <c r="P23" i="11"/>
  <c r="O22" i="11"/>
  <c r="N22" i="11"/>
  <c r="Q22" i="11"/>
  <c r="X22" i="11"/>
  <c r="T22" i="11"/>
  <c r="R22" i="11"/>
  <c r="O21" i="11"/>
  <c r="S21" i="11"/>
  <c r="X21" i="11"/>
  <c r="R21" i="11"/>
  <c r="P21" i="11"/>
  <c r="O20" i="11"/>
  <c r="S20" i="11"/>
  <c r="X20" i="11"/>
  <c r="R20" i="11"/>
  <c r="P20" i="11"/>
  <c r="O19" i="11"/>
  <c r="S19" i="11"/>
  <c r="X19" i="11"/>
  <c r="R19" i="11"/>
  <c r="P19" i="11"/>
  <c r="O18" i="11"/>
  <c r="S18" i="11"/>
  <c r="X18" i="11"/>
  <c r="R18" i="11"/>
  <c r="P18" i="11"/>
  <c r="N17" i="11"/>
  <c r="S17" i="11"/>
  <c r="T17" i="11"/>
  <c r="P17" i="11"/>
  <c r="O16" i="11"/>
  <c r="S16" i="11"/>
  <c r="X16" i="11"/>
  <c r="R16" i="11"/>
  <c r="P16" i="11"/>
  <c r="O15" i="11"/>
  <c r="S15" i="11"/>
  <c r="X15" i="11"/>
  <c r="R15" i="11"/>
  <c r="P15" i="11"/>
  <c r="O14" i="11"/>
  <c r="X14" i="11"/>
  <c r="T14" i="11"/>
  <c r="R14" i="11"/>
  <c r="P14" i="11"/>
  <c r="O13" i="11"/>
  <c r="S13" i="11"/>
  <c r="X13" i="11"/>
  <c r="R13" i="11"/>
  <c r="P13" i="11"/>
  <c r="N12" i="11"/>
  <c r="S12" i="11"/>
  <c r="T12" i="11"/>
  <c r="R12" i="11"/>
  <c r="P12" i="11"/>
  <c r="O12" i="11"/>
  <c r="S11" i="11"/>
  <c r="X11" i="11"/>
  <c r="R11" i="11"/>
  <c r="P11" i="11"/>
  <c r="O11" i="11"/>
  <c r="S10" i="11"/>
  <c r="R10" i="11"/>
  <c r="P10" i="11"/>
  <c r="O10" i="11"/>
  <c r="Q9" i="11"/>
  <c r="S9" i="11"/>
  <c r="R9" i="11"/>
  <c r="P9" i="11"/>
  <c r="O9" i="11"/>
  <c r="T8" i="11"/>
  <c r="S8" i="11"/>
  <c r="R8" i="11"/>
  <c r="P8" i="11"/>
  <c r="O8" i="11"/>
  <c r="O7" i="11"/>
  <c r="N7" i="11"/>
  <c r="Z7" i="11"/>
  <c r="S7" i="11"/>
  <c r="T7" i="11"/>
  <c r="R7" i="11"/>
  <c r="P7" i="11"/>
  <c r="O6" i="11"/>
  <c r="N6" i="11"/>
  <c r="S6" i="11"/>
  <c r="T6" i="11"/>
  <c r="R6" i="11"/>
  <c r="P6" i="11"/>
  <c r="AN5" i="11"/>
  <c r="AM5" i="11"/>
  <c r="AL5" i="11"/>
  <c r="T5" i="11"/>
  <c r="AK5" i="11"/>
  <c r="AJ5" i="11"/>
  <c r="AI5" i="11"/>
  <c r="AH5" i="11"/>
  <c r="AG5" i="11"/>
  <c r="AF5" i="11"/>
  <c r="AE5" i="11"/>
  <c r="AD5" i="11"/>
  <c r="Q5" i="11"/>
  <c r="AC5" i="11"/>
  <c r="AB5" i="11"/>
  <c r="AA5" i="11"/>
  <c r="X5" i="11"/>
  <c r="M5" i="11"/>
  <c r="L5" i="11"/>
  <c r="S5" i="11"/>
  <c r="R5" i="11"/>
  <c r="P5" i="11"/>
  <c r="O5" i="11"/>
  <c r="N5" i="11"/>
  <c r="Z5" i="11"/>
  <c r="Z31" i="15"/>
  <c r="Z42" i="15"/>
  <c r="Z53" i="15"/>
  <c r="Z45" i="15"/>
  <c r="Z21" i="15"/>
  <c r="Z9" i="15"/>
  <c r="Z27" i="15"/>
  <c r="Z49" i="15"/>
  <c r="Z25" i="15"/>
  <c r="Z46" i="15"/>
  <c r="Z5" i="15"/>
  <c r="AT18" i="12"/>
  <c r="O18" i="12"/>
  <c r="S22" i="12"/>
  <c r="AP22" i="12"/>
  <c r="T24" i="12"/>
  <c r="AU24" i="12"/>
  <c r="AS27" i="12"/>
  <c r="N27" i="12"/>
  <c r="S34" i="12"/>
  <c r="AP34" i="12"/>
  <c r="Z37" i="12"/>
  <c r="AP37" i="12"/>
  <c r="S37" i="12"/>
  <c r="R38" i="12"/>
  <c r="AR38" i="12"/>
  <c r="N39" i="12"/>
  <c r="AS39" i="12"/>
  <c r="AU39" i="12"/>
  <c r="T39" i="12"/>
  <c r="Z39" i="12"/>
  <c r="Q40" i="12"/>
  <c r="AQ40" i="12"/>
  <c r="AP41" i="12"/>
  <c r="S41" i="12"/>
  <c r="Z41" i="12"/>
  <c r="R42" i="12"/>
  <c r="AR42" i="12"/>
  <c r="AV42" i="12"/>
  <c r="P42" i="12"/>
  <c r="Z42" i="12"/>
  <c r="AQ43" i="12"/>
  <c r="Q43" i="12"/>
  <c r="Z43" i="12"/>
  <c r="AU43" i="12"/>
  <c r="T43" i="12"/>
  <c r="AS44" i="12"/>
  <c r="N44" i="12"/>
  <c r="R45" i="12"/>
  <c r="AR45" i="12"/>
  <c r="AV45" i="12"/>
  <c r="P45" i="12"/>
  <c r="AP46" i="12"/>
  <c r="S46" i="12"/>
  <c r="Q47" i="12"/>
  <c r="AQ47" i="12"/>
  <c r="AU47" i="12"/>
  <c r="T47" i="12"/>
  <c r="N48" i="12"/>
  <c r="AS48" i="12"/>
  <c r="AU48" i="12"/>
  <c r="T48" i="12"/>
  <c r="AV49" i="12"/>
  <c r="P49" i="12"/>
  <c r="Z49" i="12"/>
  <c r="AR50" i="12"/>
  <c r="R50" i="12"/>
  <c r="Q51" i="12"/>
  <c r="AQ51" i="12"/>
  <c r="AS51" i="12"/>
  <c r="N51" i="12"/>
  <c r="AU51" i="12"/>
  <c r="T51" i="12"/>
  <c r="AS52" i="12"/>
  <c r="N52" i="12"/>
  <c r="T52" i="12"/>
  <c r="AU52" i="12"/>
  <c r="AR53" i="12"/>
  <c r="R53" i="12"/>
  <c r="P54" i="12"/>
  <c r="AV54" i="12"/>
  <c r="AS55" i="12"/>
  <c r="N55" i="12"/>
  <c r="AS56" i="12"/>
  <c r="N56" i="12"/>
  <c r="Z56" i="12"/>
  <c r="AU56" i="12"/>
  <c r="T56" i="12"/>
  <c r="N11" i="12"/>
  <c r="AS11" i="12"/>
  <c r="AU36" i="12"/>
  <c r="T36" i="12"/>
  <c r="AU40" i="12"/>
  <c r="T40" i="12"/>
  <c r="N12" i="12"/>
  <c r="Q15" i="12"/>
  <c r="N16" i="12"/>
  <c r="T19" i="12"/>
  <c r="AU20" i="12"/>
  <c r="O25" i="12"/>
  <c r="AU32" i="12"/>
  <c r="Q36" i="12"/>
  <c r="Z36" i="12"/>
  <c r="P38" i="12"/>
  <c r="AV41" i="12"/>
  <c r="AP42" i="12"/>
  <c r="AS43" i="12"/>
  <c r="R46" i="12"/>
  <c r="AV46" i="12"/>
  <c r="AR5" i="12"/>
  <c r="AQ7" i="12"/>
  <c r="AR9" i="12"/>
  <c r="R9" i="12"/>
  <c r="AQ16" i="12"/>
  <c r="Q16" i="12"/>
  <c r="S26" i="12"/>
  <c r="AP26" i="12"/>
  <c r="T11" i="12"/>
  <c r="AQ11" i="12"/>
  <c r="Q12" i="12"/>
  <c r="AR13" i="12"/>
  <c r="AR14" i="12"/>
  <c r="O17" i="12"/>
  <c r="O21" i="12"/>
  <c r="O22" i="12"/>
  <c r="S30" i="12"/>
  <c r="AS36" i="12"/>
  <c r="Q39" i="12"/>
  <c r="AQ44" i="12"/>
  <c r="N47" i="12"/>
  <c r="Z47" i="12"/>
  <c r="Q48" i="12"/>
  <c r="AU6" i="12"/>
  <c r="AU8" i="12"/>
  <c r="AU9" i="12"/>
  <c r="AU10" i="12"/>
  <c r="AP33" i="12"/>
  <c r="S33" i="12"/>
  <c r="AS34" i="12"/>
  <c r="AU35" i="12"/>
  <c r="T35" i="12"/>
  <c r="AV5" i="12"/>
  <c r="N6" i="12"/>
  <c r="AV7" i="12"/>
  <c r="N8" i="12"/>
  <c r="AV8" i="12"/>
  <c r="AV9" i="12"/>
  <c r="N10" i="12"/>
  <c r="AV10" i="12"/>
  <c r="T18" i="12"/>
  <c r="AQ18" i="12"/>
  <c r="AR19" i="12"/>
  <c r="R19" i="12"/>
  <c r="AV19" i="12"/>
  <c r="P19" i="12"/>
  <c r="AP29" i="12"/>
  <c r="S29" i="12"/>
  <c r="AR29" i="12"/>
  <c r="R29" i="12"/>
  <c r="T30" i="12"/>
  <c r="AU30" i="12"/>
  <c r="AS30" i="12"/>
  <c r="AQ31" i="12"/>
  <c r="Q31" i="12"/>
  <c r="AU31" i="12"/>
  <c r="AP32" i="12"/>
  <c r="S32" i="12"/>
  <c r="AR32" i="12"/>
  <c r="R32" i="12"/>
  <c r="Z55" i="12"/>
  <c r="O5" i="12"/>
  <c r="S5" i="12"/>
  <c r="Z5" i="12"/>
  <c r="AS5" i="12"/>
  <c r="O6" i="12"/>
  <c r="S6" i="12"/>
  <c r="O7" i="12"/>
  <c r="S7" i="12"/>
  <c r="AS7" i="12"/>
  <c r="O8" i="12"/>
  <c r="S8" i="12"/>
  <c r="O9" i="12"/>
  <c r="Z9" i="12"/>
  <c r="S9" i="12"/>
  <c r="AS9" i="12"/>
  <c r="O10" i="12"/>
  <c r="S10" i="12"/>
  <c r="O12" i="12"/>
  <c r="Z12" i="12"/>
  <c r="P12" i="12"/>
  <c r="S13" i="12"/>
  <c r="P13" i="12"/>
  <c r="Z13" i="12"/>
  <c r="S14" i="12"/>
  <c r="P14" i="12"/>
  <c r="Z14" i="12"/>
  <c r="S15" i="12"/>
  <c r="P15" i="12"/>
  <c r="Z15" i="12"/>
  <c r="S16" i="12"/>
  <c r="P16" i="12"/>
  <c r="S17" i="12"/>
  <c r="P17" i="12"/>
  <c r="Z17" i="12"/>
  <c r="N18" i="12"/>
  <c r="S19" i="12"/>
  <c r="N19" i="12"/>
  <c r="AS19" i="12"/>
  <c r="Q22" i="12"/>
  <c r="N22" i="12"/>
  <c r="O24" i="12"/>
  <c r="AP25" i="12"/>
  <c r="S25" i="12"/>
  <c r="AR25" i="12"/>
  <c r="R25" i="12"/>
  <c r="P25" i="12"/>
  <c r="AV25" i="12"/>
  <c r="T26" i="12"/>
  <c r="AU26" i="12"/>
  <c r="AS26" i="12"/>
  <c r="AQ27" i="12"/>
  <c r="Q27" i="12"/>
  <c r="AU27" i="12"/>
  <c r="AP28" i="12"/>
  <c r="S28" i="12"/>
  <c r="AR28" i="12"/>
  <c r="R28" i="12"/>
  <c r="O33" i="12"/>
  <c r="Z33" i="12"/>
  <c r="AU5" i="12"/>
  <c r="AU7" i="12"/>
  <c r="Z11" i="12"/>
  <c r="AP20" i="12"/>
  <c r="S20" i="12"/>
  <c r="AR20" i="12"/>
  <c r="R20" i="12"/>
  <c r="P20" i="12"/>
  <c r="AV20" i="12"/>
  <c r="AR33" i="12"/>
  <c r="R33" i="12"/>
  <c r="T34" i="12"/>
  <c r="AU34" i="12"/>
  <c r="AQ35" i="12"/>
  <c r="Q35" i="12"/>
  <c r="AV6" i="12"/>
  <c r="AT11" i="12"/>
  <c r="X12" i="12"/>
  <c r="X13" i="12"/>
  <c r="X14" i="12"/>
  <c r="X15" i="12"/>
  <c r="X16" i="12"/>
  <c r="X17" i="12"/>
  <c r="AR18" i="12"/>
  <c r="R18" i="12"/>
  <c r="Z18" i="12"/>
  <c r="AV18" i="12"/>
  <c r="P18" i="12"/>
  <c r="O20" i="12"/>
  <c r="AP21" i="12"/>
  <c r="S21" i="12"/>
  <c r="AR21" i="12"/>
  <c r="R21" i="12"/>
  <c r="P21" i="12"/>
  <c r="AV21" i="12"/>
  <c r="T22" i="12"/>
  <c r="AU22" i="12"/>
  <c r="AQ23" i="12"/>
  <c r="Q23" i="12"/>
  <c r="AU23" i="12"/>
  <c r="AP24" i="12"/>
  <c r="S24" i="12"/>
  <c r="AR24" i="12"/>
  <c r="R24" i="12"/>
  <c r="P24" i="12"/>
  <c r="AV24" i="12"/>
  <c r="O29" i="12"/>
  <c r="Q34" i="12"/>
  <c r="AS35" i="12"/>
  <c r="T13" i="12"/>
  <c r="T14" i="12"/>
  <c r="T15" i="12"/>
  <c r="T16" i="12"/>
  <c r="T17" i="12"/>
  <c r="Q20" i="12"/>
  <c r="N20" i="12"/>
  <c r="X22" i="12"/>
  <c r="AR23" i="12"/>
  <c r="R23" i="12"/>
  <c r="P23" i="12"/>
  <c r="Z23" i="12"/>
  <c r="AV23" i="12"/>
  <c r="Q24" i="12"/>
  <c r="N24" i="12"/>
  <c r="X26" i="12"/>
  <c r="AR27" i="12"/>
  <c r="R27" i="12"/>
  <c r="P27" i="12"/>
  <c r="AV27" i="12"/>
  <c r="Q28" i="12"/>
  <c r="Z28" i="12"/>
  <c r="AS29" i="12"/>
  <c r="X30" i="12"/>
  <c r="P30" i="12"/>
  <c r="AR31" i="12"/>
  <c r="R31" i="12"/>
  <c r="Q32" i="12"/>
  <c r="AS33" i="12"/>
  <c r="X34" i="12"/>
  <c r="P34" i="12"/>
  <c r="AR35" i="12"/>
  <c r="R35" i="12"/>
  <c r="Z53" i="12"/>
  <c r="X21" i="12"/>
  <c r="AR22" i="12"/>
  <c r="R22" i="12"/>
  <c r="P22" i="12"/>
  <c r="AV22" i="12"/>
  <c r="N23" i="12"/>
  <c r="X25" i="12"/>
  <c r="AR26" i="12"/>
  <c r="R26" i="12"/>
  <c r="P26" i="12"/>
  <c r="AV26" i="12"/>
  <c r="AS28" i="12"/>
  <c r="X29" i="12"/>
  <c r="P29" i="12"/>
  <c r="AR30" i="12"/>
  <c r="R30" i="12"/>
  <c r="AS32" i="12"/>
  <c r="X33" i="12"/>
  <c r="P33" i="12"/>
  <c r="AR34" i="12"/>
  <c r="R34" i="12"/>
  <c r="Z38" i="12"/>
  <c r="Z40" i="12"/>
  <c r="Z44" i="12"/>
  <c r="Z46" i="12"/>
  <c r="Z48" i="12"/>
  <c r="Z50" i="12"/>
  <c r="Z54" i="12"/>
  <c r="AP49" i="12"/>
  <c r="AP50" i="12"/>
  <c r="AP51" i="12"/>
  <c r="AP52" i="12"/>
  <c r="AP53" i="12"/>
  <c r="AP54" i="12"/>
  <c r="AP55" i="12"/>
  <c r="AP56" i="12"/>
  <c r="AT36" i="12"/>
  <c r="AT37" i="12"/>
  <c r="AT38" i="12"/>
  <c r="AT39" i="12"/>
  <c r="AT40" i="12"/>
  <c r="AT41" i="12"/>
  <c r="AT42" i="12"/>
  <c r="AT43" i="12"/>
  <c r="AT44" i="12"/>
  <c r="AT45" i="12"/>
  <c r="AT46" i="12"/>
  <c r="AT47" i="12"/>
  <c r="AT48" i="12"/>
  <c r="AT49" i="12"/>
  <c r="AT50" i="12"/>
  <c r="AT51" i="12"/>
  <c r="AT52" i="12"/>
  <c r="AT53" i="12"/>
  <c r="AT54" i="12"/>
  <c r="AT55" i="12"/>
  <c r="AT56" i="12"/>
  <c r="Z30" i="11"/>
  <c r="Z27" i="11"/>
  <c r="Z26" i="11"/>
  <c r="Z23" i="11"/>
  <c r="Z22" i="11"/>
  <c r="Z19" i="11"/>
  <c r="Z18" i="11"/>
  <c r="Z14" i="11"/>
  <c r="Z16" i="11"/>
  <c r="Z20" i="11"/>
  <c r="Z24" i="11"/>
  <c r="Z28" i="11"/>
  <c r="Z15" i="11"/>
  <c r="Z8" i="11"/>
  <c r="Z6" i="11"/>
  <c r="Z10" i="11"/>
  <c r="Z11" i="11"/>
  <c r="Z12" i="11"/>
  <c r="Z13" i="11"/>
  <c r="Z17" i="11"/>
  <c r="Z21" i="11"/>
  <c r="Z25" i="11"/>
  <c r="Z29" i="11"/>
  <c r="AU59" i="11"/>
  <c r="AS59" i="11"/>
  <c r="AT59" i="11"/>
  <c r="AQ59" i="11"/>
  <c r="Z10" i="12"/>
  <c r="Z21" i="12"/>
  <c r="Z31" i="12"/>
  <c r="Z8" i="12"/>
  <c r="Z25" i="12"/>
  <c r="Z7" i="12"/>
  <c r="Z6" i="12"/>
  <c r="Z45" i="12"/>
  <c r="Z20" i="12"/>
  <c r="Z29" i="12"/>
  <c r="Z26" i="12"/>
  <c r="Z32" i="12"/>
  <c r="Z27" i="12"/>
  <c r="Z24" i="12"/>
  <c r="Z16" i="12"/>
  <c r="Z19" i="12"/>
  <c r="Z52" i="12"/>
  <c r="Z51" i="12"/>
  <c r="Z30" i="12"/>
  <c r="Z22" i="12"/>
  <c r="Z34" i="12"/>
  <c r="Z35" i="12"/>
  <c r="AP59" i="11"/>
  <c r="AV59" i="11"/>
  <c r="AR59" i="11"/>
  <c r="AN56" i="11"/>
  <c r="AM56" i="11"/>
  <c r="AL56" i="11"/>
  <c r="AK56" i="11"/>
  <c r="T56" i="11"/>
  <c r="AJ56" i="11"/>
  <c r="AI56" i="11"/>
  <c r="AH56" i="11"/>
  <c r="AG56" i="11"/>
  <c r="N56" i="11"/>
  <c r="AF56" i="11"/>
  <c r="AR56" i="11"/>
  <c r="AE56" i="11"/>
  <c r="AD56" i="11"/>
  <c r="AC56" i="11"/>
  <c r="Q56" i="11"/>
  <c r="AB56" i="11"/>
  <c r="AA56" i="11"/>
  <c r="M56" i="11"/>
  <c r="L56" i="11"/>
  <c r="P56" i="11"/>
  <c r="AP56" i="11"/>
  <c r="X56" i="11"/>
  <c r="S56" i="11"/>
  <c r="O56" i="11"/>
  <c r="AN55" i="11"/>
  <c r="AM55" i="11"/>
  <c r="AL55" i="11"/>
  <c r="AK55" i="11"/>
  <c r="AJ55" i="11"/>
  <c r="AI55" i="11"/>
  <c r="AH55" i="11"/>
  <c r="AG55" i="11"/>
  <c r="N55" i="11"/>
  <c r="AF55" i="11"/>
  <c r="AE55" i="11"/>
  <c r="AD55" i="11"/>
  <c r="AC55" i="11"/>
  <c r="AB55" i="11"/>
  <c r="AA55" i="11"/>
  <c r="M55" i="11"/>
  <c r="L55" i="11"/>
  <c r="X55" i="11"/>
  <c r="AN54" i="11"/>
  <c r="AM54" i="11"/>
  <c r="P54" i="11"/>
  <c r="AL54" i="11"/>
  <c r="AU54" i="11"/>
  <c r="AK54" i="11"/>
  <c r="AJ54" i="11"/>
  <c r="AI54" i="11"/>
  <c r="O54" i="11"/>
  <c r="AH54" i="11"/>
  <c r="AG54" i="11"/>
  <c r="AF54" i="11"/>
  <c r="AE54" i="11"/>
  <c r="R54" i="11"/>
  <c r="AD54" i="11"/>
  <c r="AC54" i="11"/>
  <c r="AB54" i="11"/>
  <c r="AA54" i="11"/>
  <c r="S54" i="11"/>
  <c r="M54" i="11"/>
  <c r="L54" i="11"/>
  <c r="N54" i="11"/>
  <c r="X54" i="11"/>
  <c r="AN53" i="11"/>
  <c r="AM53" i="11"/>
  <c r="AL53" i="11"/>
  <c r="AK53" i="11"/>
  <c r="AJ53" i="11"/>
  <c r="AI53" i="11"/>
  <c r="AH53" i="11"/>
  <c r="AG53" i="11"/>
  <c r="AF53" i="11"/>
  <c r="AR53" i="11"/>
  <c r="AE53" i="11"/>
  <c r="AD53" i="11"/>
  <c r="AQ53" i="11"/>
  <c r="AC53" i="11"/>
  <c r="AB53" i="11"/>
  <c r="AA53" i="11"/>
  <c r="M53" i="11"/>
  <c r="L53" i="11"/>
  <c r="O53" i="11"/>
  <c r="S53" i="11"/>
  <c r="X53" i="11"/>
  <c r="P53" i="11"/>
  <c r="AN52" i="11"/>
  <c r="AM52" i="11"/>
  <c r="P52" i="11"/>
  <c r="AL52" i="11"/>
  <c r="T52" i="11"/>
  <c r="AK52" i="11"/>
  <c r="AJ52" i="11"/>
  <c r="AI52" i="11"/>
  <c r="O52" i="11"/>
  <c r="AH52" i="11"/>
  <c r="N52" i="11"/>
  <c r="AG52" i="11"/>
  <c r="AF52" i="11"/>
  <c r="AE52" i="11"/>
  <c r="R52" i="11"/>
  <c r="AD52" i="11"/>
  <c r="AQ52" i="11"/>
  <c r="AC52" i="11"/>
  <c r="AB52" i="11"/>
  <c r="AA52" i="11"/>
  <c r="AP52" i="11"/>
  <c r="M52" i="11"/>
  <c r="L52" i="11"/>
  <c r="X52" i="11"/>
  <c r="AN51" i="11"/>
  <c r="AM51" i="11"/>
  <c r="P51" i="11"/>
  <c r="AL51" i="11"/>
  <c r="AK51" i="11"/>
  <c r="AJ51" i="11"/>
  <c r="AI51" i="11"/>
  <c r="O51" i="11"/>
  <c r="AH51" i="11"/>
  <c r="AG51" i="11"/>
  <c r="AF51" i="11"/>
  <c r="AE51" i="11"/>
  <c r="R51" i="11"/>
  <c r="AD51" i="11"/>
  <c r="AQ51" i="11"/>
  <c r="AC51" i="11"/>
  <c r="AB51" i="11"/>
  <c r="AA51" i="11"/>
  <c r="M51" i="11"/>
  <c r="L51" i="11"/>
  <c r="X51" i="11"/>
  <c r="S51" i="11"/>
  <c r="AN50" i="11"/>
  <c r="AM50" i="11"/>
  <c r="P50" i="11"/>
  <c r="AL50" i="11"/>
  <c r="AK50" i="11"/>
  <c r="AJ50" i="11"/>
  <c r="AI50" i="11"/>
  <c r="O50" i="11"/>
  <c r="AH50" i="11"/>
  <c r="AG50" i="11"/>
  <c r="AF50" i="11"/>
  <c r="AE50" i="11"/>
  <c r="R50" i="11"/>
  <c r="AD50" i="11"/>
  <c r="AC50" i="11"/>
  <c r="AB50" i="11"/>
  <c r="AA50" i="11"/>
  <c r="S50" i="11"/>
  <c r="M50" i="11"/>
  <c r="L50" i="11"/>
  <c r="X50" i="11"/>
  <c r="AN49" i="11"/>
  <c r="AM49" i="11"/>
  <c r="AL49" i="11"/>
  <c r="T49" i="11"/>
  <c r="AK49" i="11"/>
  <c r="AJ49" i="11"/>
  <c r="AI49" i="11"/>
  <c r="AH49" i="11"/>
  <c r="AG49" i="11"/>
  <c r="AF49" i="11"/>
  <c r="AE49" i="11"/>
  <c r="AD49" i="11"/>
  <c r="AQ49" i="11"/>
  <c r="AC49" i="11"/>
  <c r="AB49" i="11"/>
  <c r="AA49" i="11"/>
  <c r="M49" i="11"/>
  <c r="L49" i="11"/>
  <c r="N49" i="11"/>
  <c r="X49" i="11"/>
  <c r="AN48" i="11"/>
  <c r="AM48" i="11"/>
  <c r="AL48" i="11"/>
  <c r="AK48" i="11"/>
  <c r="T48" i="11"/>
  <c r="AJ48" i="11"/>
  <c r="O48" i="11"/>
  <c r="AI48" i="11"/>
  <c r="AH48" i="11"/>
  <c r="AG48" i="11"/>
  <c r="N48" i="11"/>
  <c r="AF48" i="11"/>
  <c r="R48" i="11"/>
  <c r="AE48" i="11"/>
  <c r="AD48" i="11"/>
  <c r="AC48" i="11"/>
  <c r="Q48" i="11"/>
  <c r="AB48" i="11"/>
  <c r="AA48" i="11"/>
  <c r="M48" i="11"/>
  <c r="L48" i="11"/>
  <c r="P48" i="11"/>
  <c r="X48" i="11"/>
  <c r="S48" i="11"/>
  <c r="AN47" i="11"/>
  <c r="AV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M47" i="11"/>
  <c r="L47" i="11"/>
  <c r="X47" i="11"/>
  <c r="AN46" i="11"/>
  <c r="AM46" i="11"/>
  <c r="AL46" i="11"/>
  <c r="AK46" i="11"/>
  <c r="T46" i="11"/>
  <c r="AJ46" i="11"/>
  <c r="AI46" i="11"/>
  <c r="AH46" i="11"/>
  <c r="AG46" i="11"/>
  <c r="AF46" i="11"/>
  <c r="AE46" i="11"/>
  <c r="AD46" i="11"/>
  <c r="AC46" i="11"/>
  <c r="AB46" i="11"/>
  <c r="AA46" i="11"/>
  <c r="M46" i="11"/>
  <c r="L46" i="11"/>
  <c r="X46" i="11"/>
  <c r="AN45" i="11"/>
  <c r="AV45" i="11"/>
  <c r="AM45" i="11"/>
  <c r="AL45" i="11"/>
  <c r="AK45" i="11"/>
  <c r="T45" i="11"/>
  <c r="AJ45" i="11"/>
  <c r="O45" i="11"/>
  <c r="AI45" i="11"/>
  <c r="AH45" i="11"/>
  <c r="AG45" i="11"/>
  <c r="N45" i="11"/>
  <c r="AF45" i="11"/>
  <c r="AR45" i="11"/>
  <c r="AE45" i="11"/>
  <c r="AD45" i="11"/>
  <c r="AC45" i="11"/>
  <c r="Q45" i="11"/>
  <c r="AB45" i="11"/>
  <c r="S45" i="11"/>
  <c r="AA45" i="11"/>
  <c r="M45" i="11"/>
  <c r="L45" i="11"/>
  <c r="P45" i="11"/>
  <c r="X45" i="11"/>
  <c r="AN44" i="11"/>
  <c r="AM44" i="11"/>
  <c r="P44" i="11"/>
  <c r="AL44" i="11"/>
  <c r="AK44" i="11"/>
  <c r="AJ44" i="11"/>
  <c r="AI44" i="11"/>
  <c r="O44" i="11"/>
  <c r="AH44" i="11"/>
  <c r="AG44" i="11"/>
  <c r="AF44" i="11"/>
  <c r="AR44" i="11"/>
  <c r="AE44" i="11"/>
  <c r="R44" i="11"/>
  <c r="AD44" i="11"/>
  <c r="AC44" i="11"/>
  <c r="AB44" i="11"/>
  <c r="AA44" i="11"/>
  <c r="S44" i="11"/>
  <c r="M44" i="11"/>
  <c r="L44" i="11"/>
  <c r="X44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M43" i="11"/>
  <c r="L43" i="11"/>
  <c r="AR43" i="11"/>
  <c r="X43" i="11"/>
  <c r="AN42" i="11"/>
  <c r="AM42" i="11"/>
  <c r="P42" i="11"/>
  <c r="AL42" i="11"/>
  <c r="AK42" i="11"/>
  <c r="AJ42" i="11"/>
  <c r="AI42" i="11"/>
  <c r="O42" i="11"/>
  <c r="AH42" i="11"/>
  <c r="AG42" i="11"/>
  <c r="AF42" i="11"/>
  <c r="AE42" i="11"/>
  <c r="R42" i="11"/>
  <c r="AD42" i="11"/>
  <c r="AC42" i="11"/>
  <c r="AB42" i="11"/>
  <c r="AA42" i="11"/>
  <c r="AP42" i="11"/>
  <c r="M42" i="11"/>
  <c r="L42" i="11"/>
  <c r="S42" i="11"/>
  <c r="X42" i="11"/>
  <c r="AN41" i="11"/>
  <c r="AM41" i="11"/>
  <c r="AL41" i="11"/>
  <c r="T41" i="11"/>
  <c r="AK41" i="11"/>
  <c r="AJ41" i="11"/>
  <c r="AI41" i="11"/>
  <c r="AH41" i="11"/>
  <c r="N41" i="11"/>
  <c r="AG41" i="11"/>
  <c r="AF41" i="11"/>
  <c r="AE41" i="11"/>
  <c r="AD41" i="11"/>
  <c r="Q41" i="11"/>
  <c r="AC41" i="11"/>
  <c r="AB41" i="11"/>
  <c r="AP41" i="11"/>
  <c r="AA41" i="11"/>
  <c r="M41" i="11"/>
  <c r="L41" i="11"/>
  <c r="AT41" i="11"/>
  <c r="X41" i="11"/>
  <c r="AN40" i="11"/>
  <c r="AM40" i="11"/>
  <c r="AL40" i="11"/>
  <c r="T40" i="11"/>
  <c r="AK40" i="11"/>
  <c r="AJ40" i="11"/>
  <c r="AI40" i="11"/>
  <c r="AH40" i="11"/>
  <c r="AS40" i="11"/>
  <c r="AG40" i="11"/>
  <c r="AF40" i="11"/>
  <c r="AE40" i="11"/>
  <c r="AD40" i="11"/>
  <c r="Q40" i="11"/>
  <c r="AC40" i="11"/>
  <c r="AB40" i="11"/>
  <c r="AP40" i="11"/>
  <c r="AA40" i="11"/>
  <c r="M40" i="11"/>
  <c r="L40" i="11"/>
  <c r="X40" i="11"/>
  <c r="AN39" i="11"/>
  <c r="AM39" i="11"/>
  <c r="AL39" i="11"/>
  <c r="AK39" i="11"/>
  <c r="AJ39" i="11"/>
  <c r="AI39" i="11"/>
  <c r="AH39" i="11"/>
  <c r="AG39" i="11"/>
  <c r="AF39" i="11"/>
  <c r="R39" i="11"/>
  <c r="AE39" i="11"/>
  <c r="AD39" i="11"/>
  <c r="AC39" i="11"/>
  <c r="AB39" i="11"/>
  <c r="AA39" i="11"/>
  <c r="M39" i="11"/>
  <c r="L39" i="11"/>
  <c r="X39" i="11"/>
  <c r="AN38" i="11"/>
  <c r="AM38" i="11"/>
  <c r="P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M38" i="11"/>
  <c r="L38" i="11"/>
  <c r="X38" i="11"/>
  <c r="N38" i="11"/>
  <c r="AN37" i="11"/>
  <c r="AM37" i="11"/>
  <c r="AL37" i="11"/>
  <c r="AU37" i="11"/>
  <c r="AK37" i="11"/>
  <c r="AJ37" i="11"/>
  <c r="AI37" i="11"/>
  <c r="AH37" i="11"/>
  <c r="AS37" i="11"/>
  <c r="AG37" i="11"/>
  <c r="AF37" i="11"/>
  <c r="AE37" i="11"/>
  <c r="AR37" i="11"/>
  <c r="AD37" i="11"/>
  <c r="AQ37" i="11"/>
  <c r="AC37" i="11"/>
  <c r="AB37" i="11"/>
  <c r="AA37" i="11"/>
  <c r="M37" i="11"/>
  <c r="L37" i="11"/>
  <c r="S37" i="11"/>
  <c r="X37" i="11"/>
  <c r="AN36" i="11"/>
  <c r="AM36" i="11"/>
  <c r="AL36" i="11"/>
  <c r="AU36" i="11"/>
  <c r="AK36" i="11"/>
  <c r="AJ36" i="11"/>
  <c r="AI36" i="11"/>
  <c r="AH36" i="11"/>
  <c r="AG36" i="11"/>
  <c r="AF36" i="11"/>
  <c r="AE36" i="11"/>
  <c r="AD36" i="11"/>
  <c r="AC36" i="11"/>
  <c r="AB36" i="11"/>
  <c r="AA36" i="11"/>
  <c r="M36" i="11"/>
  <c r="L36" i="11"/>
  <c r="X36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M35" i="11"/>
  <c r="L35" i="11"/>
  <c r="X35" i="11"/>
  <c r="AN34" i="11"/>
  <c r="P34" i="11"/>
  <c r="AM34" i="11"/>
  <c r="AL34" i="11"/>
  <c r="AK34" i="11"/>
  <c r="T34" i="11"/>
  <c r="AJ34" i="11"/>
  <c r="O34" i="11"/>
  <c r="AI34" i="11"/>
  <c r="AH34" i="11"/>
  <c r="AG34" i="11"/>
  <c r="N34" i="11"/>
  <c r="AF34" i="11"/>
  <c r="R34" i="11"/>
  <c r="AE34" i="11"/>
  <c r="AD34" i="11"/>
  <c r="AC34" i="11"/>
  <c r="Q34" i="11"/>
  <c r="AB34" i="11"/>
  <c r="S34" i="11"/>
  <c r="AA34" i="11"/>
  <c r="M34" i="11"/>
  <c r="L34" i="11"/>
  <c r="X34" i="11"/>
  <c r="AN33" i="11"/>
  <c r="AM33" i="11"/>
  <c r="AL33" i="11"/>
  <c r="AK33" i="11"/>
  <c r="AJ33" i="11"/>
  <c r="AI33" i="11"/>
  <c r="AH33" i="11"/>
  <c r="N33" i="11"/>
  <c r="AG33" i="11"/>
  <c r="AF33" i="11"/>
  <c r="AE33" i="11"/>
  <c r="R33" i="11"/>
  <c r="AD33" i="11"/>
  <c r="AQ33" i="11"/>
  <c r="AC33" i="11"/>
  <c r="AB33" i="11"/>
  <c r="AA33" i="11"/>
  <c r="S33" i="11"/>
  <c r="M33" i="11"/>
  <c r="L33" i="11"/>
  <c r="X33" i="11"/>
  <c r="O33" i="11"/>
  <c r="AN32" i="11"/>
  <c r="P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M32" i="11"/>
  <c r="L32" i="11"/>
  <c r="X32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X31" i="11"/>
  <c r="M31" i="11"/>
  <c r="L31" i="11"/>
  <c r="AV56" i="11"/>
  <c r="AT56" i="11"/>
  <c r="AS56" i="11"/>
  <c r="AP45" i="11"/>
  <c r="AV39" i="11"/>
  <c r="AT37" i="11"/>
  <c r="AS30" i="11"/>
  <c r="AP28" i="11"/>
  <c r="AV28" i="11"/>
  <c r="AU28" i="11"/>
  <c r="AS28" i="11"/>
  <c r="AR28" i="11"/>
  <c r="AQ28" i="11"/>
  <c r="AU27" i="11"/>
  <c r="AT27" i="11"/>
  <c r="AS27" i="11"/>
  <c r="AQ27" i="11"/>
  <c r="AT26" i="11"/>
  <c r="AR26" i="11"/>
  <c r="AP26" i="11"/>
  <c r="AT25" i="11"/>
  <c r="AV24" i="11"/>
  <c r="AR24" i="11"/>
  <c r="AU23" i="11"/>
  <c r="AR23" i="11"/>
  <c r="AQ23" i="11"/>
  <c r="AP23" i="11"/>
  <c r="AR22" i="11"/>
  <c r="AV22" i="11"/>
  <c r="AS22" i="11"/>
  <c r="AT20" i="11"/>
  <c r="AP20" i="11"/>
  <c r="AR19" i="11"/>
  <c r="AQ19" i="11"/>
  <c r="AV18" i="11"/>
  <c r="AS18" i="11"/>
  <c r="AQ18" i="11"/>
  <c r="AT17" i="11"/>
  <c r="AP17" i="11"/>
  <c r="AR17" i="11"/>
  <c r="AU16" i="11"/>
  <c r="AT16" i="11"/>
  <c r="AS16" i="11"/>
  <c r="AQ16" i="11"/>
  <c r="AU15" i="11"/>
  <c r="AQ15" i="11"/>
  <c r="AR14" i="11"/>
  <c r="AV13" i="11"/>
  <c r="AR13" i="11"/>
  <c r="AT12" i="11"/>
  <c r="AV12" i="11"/>
  <c r="AU12" i="11"/>
  <c r="AR12" i="11"/>
  <c r="AQ12" i="11"/>
  <c r="AU11" i="11"/>
  <c r="AS11" i="11"/>
  <c r="AR11" i="11"/>
  <c r="AP11" i="11"/>
  <c r="AR10" i="11"/>
  <c r="AT9" i="11"/>
  <c r="AS9" i="11"/>
  <c r="AS8" i="11"/>
  <c r="AQ8" i="11"/>
  <c r="AP8" i="11"/>
  <c r="AV7" i="11"/>
  <c r="AU7" i="11"/>
  <c r="AS7" i="11"/>
  <c r="AR7" i="11"/>
  <c r="AQ7" i="11"/>
  <c r="AP7" i="11"/>
  <c r="AV6" i="11"/>
  <c r="AU6" i="11"/>
  <c r="AR6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V5" i="11"/>
  <c r="AT5" i="11"/>
  <c r="AR5" i="11"/>
  <c r="AP5" i="11"/>
  <c r="T1" i="11"/>
  <c r="S1" i="11"/>
  <c r="R1" i="11"/>
  <c r="Q1" i="11"/>
  <c r="P1" i="11"/>
  <c r="O1" i="11"/>
  <c r="N1" i="11"/>
  <c r="AP24" i="11"/>
  <c r="AT24" i="11"/>
  <c r="AP27" i="11"/>
  <c r="AS6" i="11"/>
  <c r="AR8" i="11"/>
  <c r="AQ20" i="11"/>
  <c r="P33" i="11"/>
  <c r="AV33" i="11"/>
  <c r="AP44" i="11"/>
  <c r="O47" i="11"/>
  <c r="AT47" i="11"/>
  <c r="AV10" i="11"/>
  <c r="AS26" i="11"/>
  <c r="AS29" i="11"/>
  <c r="N36" i="11"/>
  <c r="P37" i="11"/>
  <c r="AV37" i="11"/>
  <c r="S38" i="11"/>
  <c r="Z38" i="11"/>
  <c r="R38" i="11"/>
  <c r="O38" i="11"/>
  <c r="P39" i="11"/>
  <c r="R45" i="11"/>
  <c r="AP49" i="11"/>
  <c r="AT49" i="11"/>
  <c r="AU18" i="11"/>
  <c r="AR27" i="11"/>
  <c r="AV8" i="11"/>
  <c r="AS14" i="11"/>
  <c r="AU20" i="11"/>
  <c r="AQ22" i="11"/>
  <c r="AU22" i="11"/>
  <c r="AS23" i="11"/>
  <c r="AP12" i="11"/>
  <c r="AQ30" i="11"/>
  <c r="AU30" i="11"/>
  <c r="S40" i="11"/>
  <c r="AR40" i="11"/>
  <c r="O40" i="11"/>
  <c r="P40" i="11"/>
  <c r="AT11" i="11"/>
  <c r="AQ14" i="11"/>
  <c r="AU14" i="11"/>
  <c r="AS15" i="11"/>
  <c r="AR16" i="11"/>
  <c r="AV16" i="11"/>
  <c r="AS19" i="11"/>
  <c r="AU19" i="11"/>
  <c r="AR21" i="11"/>
  <c r="AV21" i="11"/>
  <c r="AR25" i="11"/>
  <c r="AV25" i="11"/>
  <c r="AQ26" i="11"/>
  <c r="AU26" i="11"/>
  <c r="AQ29" i="11"/>
  <c r="AU29" i="11"/>
  <c r="AR30" i="11"/>
  <c r="AT30" i="11"/>
  <c r="AV30" i="11"/>
  <c r="O31" i="11"/>
  <c r="Q32" i="11"/>
  <c r="AS32" i="11"/>
  <c r="AU32" i="11"/>
  <c r="AS35" i="11"/>
  <c r="AP36" i="11"/>
  <c r="R36" i="11"/>
  <c r="AT36" i="11"/>
  <c r="AV36" i="11"/>
  <c r="R37" i="11"/>
  <c r="O37" i="11"/>
  <c r="Q38" i="11"/>
  <c r="T38" i="11"/>
  <c r="AQ39" i="11"/>
  <c r="S41" i="11"/>
  <c r="Q44" i="11"/>
  <c r="AS45" i="11"/>
  <c r="S46" i="11"/>
  <c r="O46" i="11"/>
  <c r="AQ47" i="11"/>
  <c r="N47" i="11"/>
  <c r="AU47" i="11"/>
  <c r="Q51" i="11"/>
  <c r="N51" i="11"/>
  <c r="AR52" i="11"/>
  <c r="AQ55" i="11"/>
  <c r="AS55" i="11"/>
  <c r="AU55" i="11"/>
  <c r="R56" i="11"/>
  <c r="AV14" i="11"/>
  <c r="AP15" i="11"/>
  <c r="AR15" i="11"/>
  <c r="AP16" i="11"/>
  <c r="AV17" i="11"/>
  <c r="AP19" i="11"/>
  <c r="AT19" i="11"/>
  <c r="AR20" i="11"/>
  <c r="AV20" i="11"/>
  <c r="AQ24" i="11"/>
  <c r="AS24" i="11"/>
  <c r="AU24" i="11"/>
  <c r="AP25" i="11"/>
  <c r="AV29" i="11"/>
  <c r="S35" i="11"/>
  <c r="Q36" i="11"/>
  <c r="T36" i="11"/>
  <c r="S39" i="11"/>
  <c r="O39" i="11"/>
  <c r="S43" i="11"/>
  <c r="S47" i="11"/>
  <c r="R47" i="11"/>
  <c r="P47" i="11"/>
  <c r="Q50" i="11"/>
  <c r="N50" i="11"/>
  <c r="T50" i="11"/>
  <c r="Q54" i="11"/>
  <c r="Z54" i="11"/>
  <c r="AS54" i="11"/>
  <c r="T54" i="11"/>
  <c r="S55" i="11"/>
  <c r="AR55" i="11"/>
  <c r="AT55" i="11"/>
  <c r="AV55" i="11"/>
  <c r="AQ56" i="11"/>
  <c r="O55" i="11"/>
  <c r="R55" i="11"/>
  <c r="AV54" i="11"/>
  <c r="AQ54" i="11"/>
  <c r="Q53" i="11"/>
  <c r="N53" i="11"/>
  <c r="T53" i="11"/>
  <c r="S52" i="11"/>
  <c r="AS51" i="11"/>
  <c r="T51" i="11"/>
  <c r="AP50" i="11"/>
  <c r="O49" i="11"/>
  <c r="S49" i="11"/>
  <c r="R49" i="11"/>
  <c r="P49" i="11"/>
  <c r="AS48" i="11"/>
  <c r="AP47" i="11"/>
  <c r="AR47" i="11"/>
  <c r="Q47" i="11"/>
  <c r="AS47" i="11"/>
  <c r="T47" i="11"/>
  <c r="AQ46" i="11"/>
  <c r="N46" i="11"/>
  <c r="AU46" i="11"/>
  <c r="R46" i="11"/>
  <c r="P46" i="11"/>
  <c r="AT45" i="11"/>
  <c r="AQ45" i="11"/>
  <c r="AU45" i="11"/>
  <c r="N44" i="11"/>
  <c r="T44" i="11"/>
  <c r="Q43" i="11"/>
  <c r="N43" i="11"/>
  <c r="T43" i="11"/>
  <c r="AP43" i="11"/>
  <c r="R43" i="11"/>
  <c r="O43" i="11"/>
  <c r="P43" i="11"/>
  <c r="Q42" i="11"/>
  <c r="N42" i="11"/>
  <c r="Z42" i="11"/>
  <c r="T42" i="11"/>
  <c r="R41" i="11"/>
  <c r="O41" i="11"/>
  <c r="P41" i="11"/>
  <c r="Z41" i="11"/>
  <c r="N39" i="11"/>
  <c r="T39" i="11"/>
  <c r="T37" i="11"/>
  <c r="Q37" i="11"/>
  <c r="N37" i="11"/>
  <c r="S36" i="11"/>
  <c r="R35" i="11"/>
  <c r="AQ34" i="11"/>
  <c r="AU31" i="11"/>
  <c r="AR36" i="11"/>
  <c r="O36" i="11"/>
  <c r="Z36" i="11"/>
  <c r="P36" i="11"/>
  <c r="AQ35" i="11"/>
  <c r="N35" i="11"/>
  <c r="T35" i="11"/>
  <c r="O35" i="11"/>
  <c r="P35" i="11"/>
  <c r="AP34" i="11"/>
  <c r="AT34" i="11"/>
  <c r="Q33" i="11"/>
  <c r="Z33" i="11"/>
  <c r="AS33" i="11"/>
  <c r="T33" i="11"/>
  <c r="S32" i="11"/>
  <c r="AR32" i="11"/>
  <c r="AV32" i="11"/>
  <c r="Q31" i="11"/>
  <c r="AS31" i="11"/>
  <c r="T31" i="11"/>
  <c r="N32" i="11"/>
  <c r="T32" i="11"/>
  <c r="Z56" i="11"/>
  <c r="P55" i="11"/>
  <c r="Q55" i="11"/>
  <c r="T55" i="11"/>
  <c r="AP55" i="11"/>
  <c r="AP54" i="11"/>
  <c r="AP53" i="11"/>
  <c r="R53" i="11"/>
  <c r="AT53" i="11"/>
  <c r="AV52" i="11"/>
  <c r="AS52" i="11"/>
  <c r="AT52" i="11"/>
  <c r="AU52" i="11"/>
  <c r="Q52" i="11"/>
  <c r="Z52" i="11"/>
  <c r="AV51" i="11"/>
  <c r="AU51" i="11"/>
  <c r="Z50" i="11"/>
  <c r="AR49" i="11"/>
  <c r="Q49" i="11"/>
  <c r="AU49" i="11"/>
  <c r="Z48" i="11"/>
  <c r="AV48" i="11"/>
  <c r="AU48" i="11"/>
  <c r="AS46" i="11"/>
  <c r="Q46" i="11"/>
  <c r="Z45" i="11"/>
  <c r="AS44" i="11"/>
  <c r="AU44" i="11"/>
  <c r="AS43" i="11"/>
  <c r="AT43" i="11"/>
  <c r="AU43" i="11"/>
  <c r="AQ43" i="11"/>
  <c r="AV43" i="11"/>
  <c r="AR41" i="11"/>
  <c r="AV41" i="11"/>
  <c r="N40" i="11"/>
  <c r="AQ40" i="11"/>
  <c r="R40" i="11"/>
  <c r="AU40" i="11"/>
  <c r="AV40" i="11"/>
  <c r="AS39" i="11"/>
  <c r="AU39" i="11"/>
  <c r="Q39" i="11"/>
  <c r="AP37" i="11"/>
  <c r="AS36" i="11"/>
  <c r="Q35" i="11"/>
  <c r="AV35" i="11"/>
  <c r="AU35" i="11"/>
  <c r="AS34" i="11"/>
  <c r="Z34" i="11"/>
  <c r="AV34" i="11"/>
  <c r="AU34" i="11"/>
  <c r="AU33" i="11"/>
  <c r="AT31" i="11"/>
  <c r="P31" i="11"/>
  <c r="O32" i="11"/>
  <c r="R32" i="11"/>
  <c r="AP32" i="11"/>
  <c r="AQ31" i="11"/>
  <c r="AP31" i="11"/>
  <c r="N31" i="11"/>
  <c r="R31" i="11"/>
  <c r="AR31" i="11"/>
  <c r="S31" i="11"/>
  <c r="AV15" i="11"/>
  <c r="AU5" i="11"/>
  <c r="AS17" i="11"/>
  <c r="AQ32" i="11"/>
  <c r="AS5" i="11"/>
  <c r="AQ6" i="11"/>
  <c r="AT7" i="11"/>
  <c r="AP9" i="11"/>
  <c r="AR9" i="11"/>
  <c r="AV9" i="11"/>
  <c r="AQ10" i="11"/>
  <c r="AT21" i="11"/>
  <c r="AQ25" i="11"/>
  <c r="AU25" i="11"/>
  <c r="AS25" i="11"/>
  <c r="AV26" i="11"/>
  <c r="AR51" i="11"/>
  <c r="AU8" i="11"/>
  <c r="AP13" i="11"/>
  <c r="AT15" i="11"/>
  <c r="AQ5" i="11"/>
  <c r="AP6" i="11"/>
  <c r="AT6" i="11"/>
  <c r="AT13" i="11"/>
  <c r="AQ17" i="11"/>
  <c r="AU17" i="11"/>
  <c r="AP21" i="11"/>
  <c r="AT23" i="11"/>
  <c r="AV23" i="11"/>
  <c r="AP29" i="11"/>
  <c r="AR29" i="11"/>
  <c r="AP33" i="11"/>
  <c r="AR33" i="11"/>
  <c r="AT8" i="11"/>
  <c r="AS10" i="11"/>
  <c r="AU10" i="11"/>
  <c r="AQ11" i="11"/>
  <c r="AP18" i="11"/>
  <c r="AR18" i="11"/>
  <c r="AT18" i="11"/>
  <c r="AQ36" i="11"/>
  <c r="AS50" i="11"/>
  <c r="AQ9" i="11"/>
  <c r="AU9" i="11"/>
  <c r="AP10" i="11"/>
  <c r="AT10" i="11"/>
  <c r="AV11" i="11"/>
  <c r="AS12" i="11"/>
  <c r="AQ13" i="11"/>
  <c r="AU13" i="11"/>
  <c r="AS13" i="11"/>
  <c r="AP14" i="11"/>
  <c r="AT14" i="11"/>
  <c r="AV19" i="11"/>
  <c r="AS20" i="11"/>
  <c r="AQ21" i="11"/>
  <c r="AU21" i="11"/>
  <c r="AS21" i="11"/>
  <c r="AP22" i="11"/>
  <c r="AT22" i="11"/>
  <c r="AS38" i="11"/>
  <c r="AP38" i="11"/>
  <c r="AR39" i="11"/>
  <c r="AU41" i="11"/>
  <c r="AR48" i="11"/>
  <c r="AV27" i="11"/>
  <c r="AT29" i="11"/>
  <c r="AP30" i="11"/>
  <c r="AV31" i="11"/>
  <c r="AT33" i="11"/>
  <c r="AR38" i="11"/>
  <c r="AT38" i="11"/>
  <c r="AV38" i="11"/>
  <c r="AP46" i="11"/>
  <c r="AR46" i="11"/>
  <c r="AT46" i="11"/>
  <c r="AV46" i="11"/>
  <c r="AT28" i="11"/>
  <c r="AT32" i="11"/>
  <c r="AP35" i="11"/>
  <c r="AR35" i="11"/>
  <c r="AT35" i="11"/>
  <c r="AQ38" i="11"/>
  <c r="AU38" i="11"/>
  <c r="AQ41" i="11"/>
  <c r="AR42" i="11"/>
  <c r="AT42" i="11"/>
  <c r="AV42" i="11"/>
  <c r="AV44" i="11"/>
  <c r="AP48" i="11"/>
  <c r="AT48" i="11"/>
  <c r="AS53" i="11"/>
  <c r="AU53" i="11"/>
  <c r="AU56" i="11"/>
  <c r="AT40" i="11"/>
  <c r="AS42" i="11"/>
  <c r="AT44" i="11"/>
  <c r="AR50" i="11"/>
  <c r="AT50" i="11"/>
  <c r="AV50" i="11"/>
  <c r="AR34" i="11"/>
  <c r="AP39" i="11"/>
  <c r="AT39" i="11"/>
  <c r="AS41" i="11"/>
  <c r="AQ42" i="11"/>
  <c r="AU42" i="11"/>
  <c r="AQ44" i="11"/>
  <c r="AQ48" i="11"/>
  <c r="AS49" i="11"/>
  <c r="AQ50" i="11"/>
  <c r="AU50" i="11"/>
  <c r="AP51" i="11"/>
  <c r="AT51" i="11"/>
  <c r="AT54" i="11"/>
  <c r="AR54" i="11"/>
  <c r="AV49" i="11"/>
  <c r="AV53" i="11"/>
  <c r="L5" i="10"/>
  <c r="M5" i="10"/>
  <c r="Z40" i="11"/>
  <c r="Z44" i="11"/>
  <c r="Z51" i="11"/>
  <c r="Z37" i="11"/>
  <c r="Z39" i="11"/>
  <c r="Z53" i="11"/>
  <c r="Z55" i="11"/>
  <c r="Z47" i="11"/>
  <c r="Z49" i="11"/>
  <c r="Z46" i="11"/>
  <c r="Z43" i="11"/>
  <c r="Z35" i="11"/>
  <c r="Z32" i="11"/>
  <c r="Z31" i="11"/>
  <c r="AU56" i="10"/>
  <c r="AQ56" i="10"/>
  <c r="AS56" i="10"/>
  <c r="AS55" i="10"/>
  <c r="AR55" i="10"/>
  <c r="AU55" i="10"/>
  <c r="AQ55" i="10"/>
  <c r="AT54" i="10"/>
  <c r="AP54" i="10"/>
  <c r="AV54" i="10"/>
  <c r="AT53" i="10"/>
  <c r="AP53" i="10"/>
  <c r="AV53" i="10"/>
  <c r="AR53" i="10"/>
  <c r="AU52" i="10"/>
  <c r="AQ52" i="10"/>
  <c r="AS52" i="10"/>
  <c r="AR52" i="10"/>
  <c r="AS51" i="10"/>
  <c r="AU51" i="10"/>
  <c r="AQ51" i="10"/>
  <c r="AT50" i="10"/>
  <c r="AP50" i="10"/>
  <c r="AV50" i="10"/>
  <c r="AT49" i="10"/>
  <c r="AP49" i="10"/>
  <c r="AV49" i="10"/>
  <c r="AR49" i="10"/>
  <c r="AV48" i="10"/>
  <c r="AR48" i="10"/>
  <c r="AU48" i="10"/>
  <c r="AT48" i="10"/>
  <c r="AP48" i="10"/>
  <c r="AS47" i="10"/>
  <c r="AU47" i="10"/>
  <c r="AT47" i="10"/>
  <c r="AR47" i="10"/>
  <c r="AQ47" i="10"/>
  <c r="AP47" i="10"/>
  <c r="AT46" i="10"/>
  <c r="AP46" i="10"/>
  <c r="AV46" i="10"/>
  <c r="AT45" i="10"/>
  <c r="AP45" i="10"/>
  <c r="AV45" i="10"/>
  <c r="AR45" i="10"/>
  <c r="AU44" i="10"/>
  <c r="AQ44" i="10"/>
  <c r="AS44" i="10"/>
  <c r="AR44" i="10"/>
  <c r="AV43" i="10"/>
  <c r="AS43" i="10"/>
  <c r="AU43" i="10"/>
  <c r="AQ43" i="10"/>
  <c r="AS42" i="10"/>
  <c r="AU42" i="10"/>
  <c r="AQ42" i="10"/>
  <c r="AU41" i="10"/>
  <c r="AT41" i="10"/>
  <c r="AP41" i="10"/>
  <c r="AV41" i="10"/>
  <c r="AS41" i="10"/>
  <c r="AR41" i="10"/>
  <c r="AQ41" i="10"/>
  <c r="AV40" i="10"/>
  <c r="AR40" i="10"/>
  <c r="AU40" i="10"/>
  <c r="AT40" i="10"/>
  <c r="AP40" i="10"/>
  <c r="AS39" i="10"/>
  <c r="AU39" i="10"/>
  <c r="AT39" i="10"/>
  <c r="AR39" i="10"/>
  <c r="AQ39" i="10"/>
  <c r="AP39" i="10"/>
  <c r="AT38" i="10"/>
  <c r="AP38" i="10"/>
  <c r="AV38" i="10"/>
  <c r="AT37" i="10"/>
  <c r="AP37" i="10"/>
  <c r="AV37" i="10"/>
  <c r="AR37" i="10"/>
  <c r="AU36" i="10"/>
  <c r="AQ36" i="10"/>
  <c r="AS36" i="10"/>
  <c r="AR36" i="10"/>
  <c r="AV35" i="10"/>
  <c r="AS35" i="10"/>
  <c r="AU35" i="10"/>
  <c r="AQ35" i="10"/>
  <c r="AT34" i="10"/>
  <c r="AP34" i="10"/>
  <c r="AV34" i="10"/>
  <c r="AU33" i="10"/>
  <c r="AT33" i="10"/>
  <c r="AQ33" i="10"/>
  <c r="AV32" i="10"/>
  <c r="AR32" i="10"/>
  <c r="AV31" i="10"/>
  <c r="AP31" i="10"/>
  <c r="AT31" i="10"/>
  <c r="AU30" i="10"/>
  <c r="AQ30" i="10"/>
  <c r="AS30" i="10"/>
  <c r="AT29" i="10"/>
  <c r="AR29" i="10"/>
  <c r="AU29" i="10"/>
  <c r="AS29" i="10"/>
  <c r="AQ29" i="10"/>
  <c r="AS28" i="10"/>
  <c r="AV28" i="10"/>
  <c r="AR28" i="10"/>
  <c r="AV27" i="10"/>
  <c r="AP27" i="10"/>
  <c r="AT27" i="10"/>
  <c r="AU26" i="10"/>
  <c r="AQ26" i="10"/>
  <c r="AS26" i="10"/>
  <c r="AV25" i="10"/>
  <c r="AU25" i="10"/>
  <c r="AR25" i="10"/>
  <c r="AU24" i="10"/>
  <c r="AT24" i="10"/>
  <c r="AP24" i="10"/>
  <c r="AV24" i="10"/>
  <c r="AR24" i="10"/>
  <c r="AQ24" i="10"/>
  <c r="AR23" i="10"/>
  <c r="AU23" i="10"/>
  <c r="AT23" i="10"/>
  <c r="AS23" i="10"/>
  <c r="AP23" i="10"/>
  <c r="AS22" i="10"/>
  <c r="AV22" i="10"/>
  <c r="AU22" i="10"/>
  <c r="AT22" i="10"/>
  <c r="AR22" i="10"/>
  <c r="AQ22" i="10"/>
  <c r="AP22" i="10"/>
  <c r="AT21" i="10"/>
  <c r="AS21" i="10"/>
  <c r="AP21" i="10"/>
  <c r="AV21" i="10"/>
  <c r="AU21" i="10"/>
  <c r="AR21" i="10"/>
  <c r="AQ21" i="10"/>
  <c r="AT20" i="10"/>
  <c r="AP20" i="10"/>
  <c r="AV20" i="10"/>
  <c r="AU20" i="10"/>
  <c r="AS20" i="10"/>
  <c r="AR20" i="10"/>
  <c r="AQ20" i="10"/>
  <c r="AR19" i="10"/>
  <c r="AU19" i="10"/>
  <c r="AT19" i="10"/>
  <c r="AS19" i="10"/>
  <c r="AP19" i="10"/>
  <c r="AS18" i="10"/>
  <c r="AV18" i="10"/>
  <c r="AU18" i="10"/>
  <c r="AT18" i="10"/>
  <c r="AR18" i="10"/>
  <c r="AQ18" i="10"/>
  <c r="AP18" i="10"/>
  <c r="AT17" i="10"/>
  <c r="AS17" i="10"/>
  <c r="AV17" i="10"/>
  <c r="AU17" i="10"/>
  <c r="AQ17" i="10"/>
  <c r="AU16" i="10"/>
  <c r="AT16" i="10"/>
  <c r="AP16" i="10"/>
  <c r="AV16" i="10"/>
  <c r="AS16" i="10"/>
  <c r="AR16" i="10"/>
  <c r="AQ16" i="10"/>
  <c r="AU15" i="10"/>
  <c r="AT15" i="10"/>
  <c r="AS15" i="10"/>
  <c r="AR15" i="10"/>
  <c r="AP15" i="10"/>
  <c r="AS14" i="10"/>
  <c r="AR14" i="10"/>
  <c r="AV14" i="10"/>
  <c r="AU14" i="10"/>
  <c r="AT14" i="10"/>
  <c r="AQ14" i="10"/>
  <c r="AP14" i="10"/>
  <c r="AV13" i="10"/>
  <c r="AT13" i="10"/>
  <c r="AS13" i="10"/>
  <c r="AR13" i="10"/>
  <c r="AT12" i="10"/>
  <c r="AP12" i="10"/>
  <c r="AV12" i="10"/>
  <c r="AU12" i="10"/>
  <c r="AS12" i="10"/>
  <c r="AR12" i="10"/>
  <c r="AQ12" i="10"/>
  <c r="AU11" i="10"/>
  <c r="AT11" i="10"/>
  <c r="AS11" i="10"/>
  <c r="AR11" i="10"/>
  <c r="AP11" i="10"/>
  <c r="AS10" i="10"/>
  <c r="AU10" i="10"/>
  <c r="AT10" i="10"/>
  <c r="AQ10" i="10"/>
  <c r="AP10" i="10"/>
  <c r="AS9" i="10"/>
  <c r="AV9" i="10"/>
  <c r="AU9" i="10"/>
  <c r="AR9" i="10"/>
  <c r="AQ9" i="10"/>
  <c r="AT8" i="10"/>
  <c r="AP8" i="10"/>
  <c r="AV8" i="10"/>
  <c r="AU8" i="10"/>
  <c r="AS8" i="10"/>
  <c r="AR8" i="10"/>
  <c r="AQ8" i="10"/>
  <c r="AV7" i="10"/>
  <c r="AU7" i="10"/>
  <c r="AT7" i="10"/>
  <c r="AS7" i="10"/>
  <c r="AR7" i="10"/>
  <c r="AP7" i="10"/>
  <c r="AS6" i="10"/>
  <c r="AU6" i="10"/>
  <c r="AT6" i="10"/>
  <c r="AQ6" i="10"/>
  <c r="AP6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N5" i="10"/>
  <c r="AM5" i="10"/>
  <c r="AL5" i="10"/>
  <c r="AK5" i="10"/>
  <c r="AJ5" i="10"/>
  <c r="AI5" i="10"/>
  <c r="AH5" i="10"/>
  <c r="AG5" i="10"/>
  <c r="AF5" i="10"/>
  <c r="AE5" i="10"/>
  <c r="AD5" i="10"/>
  <c r="AC5" i="10"/>
  <c r="Q5" i="10"/>
  <c r="AB5" i="10"/>
  <c r="AA5" i="10"/>
  <c r="X5" i="10"/>
  <c r="P5" i="10"/>
  <c r="T1" i="10"/>
  <c r="S1" i="10"/>
  <c r="R1" i="10"/>
  <c r="Q1" i="10"/>
  <c r="P1" i="10"/>
  <c r="O1" i="10"/>
  <c r="N1" i="10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M56" i="9"/>
  <c r="L56" i="9"/>
  <c r="AN55" i="9"/>
  <c r="AM55" i="9"/>
  <c r="P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M55" i="9"/>
  <c r="L55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S54" i="9"/>
  <c r="M54" i="9"/>
  <c r="L54" i="9"/>
  <c r="AN53" i="9"/>
  <c r="AM53" i="9"/>
  <c r="AL53" i="9"/>
  <c r="AK53" i="9"/>
  <c r="AJ53" i="9"/>
  <c r="AI53" i="9"/>
  <c r="AH53" i="9"/>
  <c r="AG53" i="9"/>
  <c r="AF53" i="9"/>
  <c r="AE53" i="9"/>
  <c r="R53" i="9"/>
  <c r="AD53" i="9"/>
  <c r="AC53" i="9"/>
  <c r="AB53" i="9"/>
  <c r="AA53" i="9"/>
  <c r="M53" i="9"/>
  <c r="L53" i="9"/>
  <c r="AN52" i="9"/>
  <c r="AM52" i="9"/>
  <c r="AL52" i="9"/>
  <c r="AK52" i="9"/>
  <c r="T52" i="9"/>
  <c r="AJ52" i="9"/>
  <c r="AI52" i="9"/>
  <c r="AH52" i="9"/>
  <c r="AG52" i="9"/>
  <c r="AF52" i="9"/>
  <c r="AE52" i="9"/>
  <c r="AD52" i="9"/>
  <c r="AC52" i="9"/>
  <c r="AB52" i="9"/>
  <c r="AA52" i="9"/>
  <c r="M52" i="9"/>
  <c r="L52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M51" i="9"/>
  <c r="L51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M50" i="9"/>
  <c r="L50" i="9"/>
  <c r="AN49" i="9"/>
  <c r="AM49" i="9"/>
  <c r="P49" i="9"/>
  <c r="AL49" i="9"/>
  <c r="AK49" i="9"/>
  <c r="AJ49" i="9"/>
  <c r="AI49" i="9"/>
  <c r="O49" i="9"/>
  <c r="AH49" i="9"/>
  <c r="AG49" i="9"/>
  <c r="AF49" i="9"/>
  <c r="AE49" i="9"/>
  <c r="AD49" i="9"/>
  <c r="AC49" i="9"/>
  <c r="AB49" i="9"/>
  <c r="AA49" i="9"/>
  <c r="M49" i="9"/>
  <c r="L49" i="9"/>
  <c r="AN48" i="9"/>
  <c r="AM48" i="9"/>
  <c r="AL48" i="9"/>
  <c r="AK48" i="9"/>
  <c r="AJ48" i="9"/>
  <c r="AI48" i="9"/>
  <c r="O48" i="9"/>
  <c r="AH48" i="9"/>
  <c r="AG48" i="9"/>
  <c r="AF48" i="9"/>
  <c r="AE48" i="9"/>
  <c r="AD48" i="9"/>
  <c r="AC48" i="9"/>
  <c r="AB48" i="9"/>
  <c r="AA48" i="9"/>
  <c r="M48" i="9"/>
  <c r="L48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M47" i="9"/>
  <c r="L47" i="9"/>
  <c r="N56" i="9"/>
  <c r="X56" i="9"/>
  <c r="X55" i="9"/>
  <c r="Q55" i="9"/>
  <c r="X54" i="9"/>
  <c r="X53" i="9"/>
  <c r="X52" i="9"/>
  <c r="Q52" i="9"/>
  <c r="X51" i="9"/>
  <c r="T51" i="9"/>
  <c r="X50" i="9"/>
  <c r="X49" i="9"/>
  <c r="X48" i="9"/>
  <c r="N47" i="9"/>
  <c r="X47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M46" i="9"/>
  <c r="L46" i="9"/>
  <c r="AN45" i="9"/>
  <c r="AM45" i="9"/>
  <c r="AL45" i="9"/>
  <c r="AK45" i="9"/>
  <c r="AJ45" i="9"/>
  <c r="AI45" i="9"/>
  <c r="AH45" i="9"/>
  <c r="AG45" i="9"/>
  <c r="AF45" i="9"/>
  <c r="AE45" i="9"/>
  <c r="R45" i="9"/>
  <c r="AD45" i="9"/>
  <c r="AC45" i="9"/>
  <c r="AB45" i="9"/>
  <c r="AA45" i="9"/>
  <c r="M45" i="9"/>
  <c r="L45" i="9"/>
  <c r="AN44" i="9"/>
  <c r="AM44" i="9"/>
  <c r="AL44" i="9"/>
  <c r="AK44" i="9"/>
  <c r="AJ44" i="9"/>
  <c r="AI44" i="9"/>
  <c r="O44" i="9"/>
  <c r="AH44" i="9"/>
  <c r="AG44" i="9"/>
  <c r="N44" i="9"/>
  <c r="AF44" i="9"/>
  <c r="AE44" i="9"/>
  <c r="R44" i="9"/>
  <c r="AD44" i="9"/>
  <c r="AC44" i="9"/>
  <c r="AB44" i="9"/>
  <c r="AA44" i="9"/>
  <c r="S44" i="9"/>
  <c r="M44" i="9"/>
  <c r="L44" i="9"/>
  <c r="AN43" i="9"/>
  <c r="AM43" i="9"/>
  <c r="AL43" i="9"/>
  <c r="AK43" i="9"/>
  <c r="AJ43" i="9"/>
  <c r="AI43" i="9"/>
  <c r="AH43" i="9"/>
  <c r="AG43" i="9"/>
  <c r="AF43" i="9"/>
  <c r="AE43" i="9"/>
  <c r="R43" i="9"/>
  <c r="AD43" i="9"/>
  <c r="AC43" i="9"/>
  <c r="AB43" i="9"/>
  <c r="AA43" i="9"/>
  <c r="S43" i="9"/>
  <c r="M43" i="9"/>
  <c r="L43" i="9"/>
  <c r="X46" i="9"/>
  <c r="X45" i="9"/>
  <c r="X44" i="9"/>
  <c r="X43" i="9"/>
  <c r="O43" i="9"/>
  <c r="P44" i="9"/>
  <c r="S45" i="9"/>
  <c r="O45" i="9"/>
  <c r="P45" i="9"/>
  <c r="S46" i="9"/>
  <c r="R46" i="9"/>
  <c r="O46" i="9"/>
  <c r="P46" i="9"/>
  <c r="Q47" i="9"/>
  <c r="T47" i="9"/>
  <c r="Q48" i="9"/>
  <c r="N48" i="9"/>
  <c r="T48" i="9"/>
  <c r="Q49" i="9"/>
  <c r="N49" i="9"/>
  <c r="T49" i="9"/>
  <c r="R49" i="9"/>
  <c r="S49" i="9"/>
  <c r="Z49" i="9"/>
  <c r="Q50" i="9"/>
  <c r="N50" i="9"/>
  <c r="T50" i="9"/>
  <c r="Q51" i="9"/>
  <c r="N51" i="9"/>
  <c r="N52" i="9"/>
  <c r="N53" i="9"/>
  <c r="T53" i="9"/>
  <c r="Q54" i="9"/>
  <c r="N54" i="9"/>
  <c r="S51" i="9"/>
  <c r="R55" i="9"/>
  <c r="AQ5" i="10"/>
  <c r="AS5" i="10"/>
  <c r="Q43" i="9"/>
  <c r="N43" i="9"/>
  <c r="T43" i="9"/>
  <c r="Q44" i="9"/>
  <c r="T44" i="9"/>
  <c r="Z44" i="9"/>
  <c r="Q45" i="9"/>
  <c r="N45" i="9"/>
  <c r="T45" i="9"/>
  <c r="Z45" i="9"/>
  <c r="Q46" i="9"/>
  <c r="N46" i="9"/>
  <c r="T46" i="9"/>
  <c r="Z46" i="9"/>
  <c r="AU5" i="10"/>
  <c r="S47" i="9"/>
  <c r="R47" i="9"/>
  <c r="O47" i="9"/>
  <c r="P47" i="9"/>
  <c r="Z47" i="9"/>
  <c r="S48" i="9"/>
  <c r="R48" i="9"/>
  <c r="P48" i="9"/>
  <c r="Z48" i="9"/>
  <c r="S50" i="9"/>
  <c r="R50" i="9"/>
  <c r="O50" i="9"/>
  <c r="P50" i="9"/>
  <c r="Z50" i="9"/>
  <c r="R51" i="9"/>
  <c r="O51" i="9"/>
  <c r="P51" i="9"/>
  <c r="Z51" i="9"/>
  <c r="S52" i="9"/>
  <c r="R52" i="9"/>
  <c r="O52" i="9"/>
  <c r="P52" i="9"/>
  <c r="Z52" i="9"/>
  <c r="S53" i="9"/>
  <c r="O53" i="9"/>
  <c r="P53" i="9"/>
  <c r="R54" i="9"/>
  <c r="O54" i="9"/>
  <c r="P54" i="9"/>
  <c r="S55" i="9"/>
  <c r="O55" i="9"/>
  <c r="S56" i="9"/>
  <c r="R56" i="9"/>
  <c r="O56" i="9"/>
  <c r="P56" i="9"/>
  <c r="Q53" i="9"/>
  <c r="T54" i="9"/>
  <c r="N55" i="9"/>
  <c r="T55" i="9"/>
  <c r="Q56" i="9"/>
  <c r="T56" i="9"/>
  <c r="S5" i="10"/>
  <c r="AR5" i="10"/>
  <c r="O5" i="10"/>
  <c r="AV5" i="10"/>
  <c r="P43" i="9"/>
  <c r="T5" i="10"/>
  <c r="N5" i="10"/>
  <c r="AR10" i="10"/>
  <c r="AV10" i="10"/>
  <c r="AQ11" i="10"/>
  <c r="AP30" i="10"/>
  <c r="AT30" i="10"/>
  <c r="AP33" i="10"/>
  <c r="AV11" i="10"/>
  <c r="AP13" i="10"/>
  <c r="AV15" i="10"/>
  <c r="AR17" i="10"/>
  <c r="AU28" i="10"/>
  <c r="AQ49" i="10"/>
  <c r="AS50" i="10"/>
  <c r="R5" i="10"/>
  <c r="AQ13" i="10"/>
  <c r="AU13" i="10"/>
  <c r="AQ15" i="10"/>
  <c r="AP17" i="10"/>
  <c r="AV19" i="10"/>
  <c r="AV23" i="10"/>
  <c r="AS24" i="10"/>
  <c r="AQ25" i="10"/>
  <c r="AT25" i="10"/>
  <c r="AP26" i="10"/>
  <c r="AR26" i="10"/>
  <c r="AT26" i="10"/>
  <c r="AV26" i="10"/>
  <c r="AP29" i="10"/>
  <c r="AV29" i="10"/>
  <c r="AS32" i="10"/>
  <c r="AS34" i="10"/>
  <c r="AR35" i="10"/>
  <c r="AQ37" i="10"/>
  <c r="AU37" i="10"/>
  <c r="AS38" i="10"/>
  <c r="AR43" i="10"/>
  <c r="AR6" i="10"/>
  <c r="AV6" i="10"/>
  <c r="AQ7" i="10"/>
  <c r="AR30" i="10"/>
  <c r="AV30" i="10"/>
  <c r="AV39" i="10"/>
  <c r="AQ40" i="10"/>
  <c r="AS40" i="10"/>
  <c r="AV47" i="10"/>
  <c r="AR51" i="10"/>
  <c r="AR56" i="10"/>
  <c r="AV56" i="10"/>
  <c r="AP5" i="10"/>
  <c r="AT5" i="10"/>
  <c r="AP9" i="10"/>
  <c r="AT9" i="10"/>
  <c r="AP25" i="10"/>
  <c r="AQ28" i="10"/>
  <c r="AU49" i="10"/>
  <c r="AQ19" i="10"/>
  <c r="AQ23" i="10"/>
  <c r="AQ32" i="10"/>
  <c r="AU32" i="10"/>
  <c r="AV51" i="10"/>
  <c r="AS25" i="10"/>
  <c r="AQ27" i="10"/>
  <c r="AS27" i="10"/>
  <c r="AU27" i="10"/>
  <c r="AR27" i="10"/>
  <c r="AP28" i="10"/>
  <c r="AT28" i="10"/>
  <c r="AQ31" i="10"/>
  <c r="AS31" i="10"/>
  <c r="AU31" i="10"/>
  <c r="AR31" i="10"/>
  <c r="AP32" i="10"/>
  <c r="AT32" i="10"/>
  <c r="AT36" i="10"/>
  <c r="AV36" i="10"/>
  <c r="AQ45" i="10"/>
  <c r="AU45" i="10"/>
  <c r="AS46" i="10"/>
  <c r="AQ48" i="10"/>
  <c r="AS48" i="10"/>
  <c r="AQ53" i="10"/>
  <c r="AU53" i="10"/>
  <c r="AS54" i="10"/>
  <c r="AV55" i="10"/>
  <c r="AP42" i="10"/>
  <c r="AR42" i="10"/>
  <c r="AT42" i="10"/>
  <c r="AV42" i="10"/>
  <c r="AP44" i="10"/>
  <c r="AT44" i="10"/>
  <c r="AV44" i="10"/>
  <c r="AP52" i="10"/>
  <c r="AT52" i="10"/>
  <c r="AV52" i="10"/>
  <c r="AR33" i="10"/>
  <c r="AV33" i="10"/>
  <c r="AR34" i="10"/>
  <c r="AP36" i="10"/>
  <c r="AR38" i="10"/>
  <c r="AP43" i="10"/>
  <c r="AT43" i="10"/>
  <c r="AS45" i="10"/>
  <c r="AQ46" i="10"/>
  <c r="AU46" i="10"/>
  <c r="AS49" i="10"/>
  <c r="AQ50" i="10"/>
  <c r="AU50" i="10"/>
  <c r="AP51" i="10"/>
  <c r="AT51" i="10"/>
  <c r="AS53" i="10"/>
  <c r="AQ54" i="10"/>
  <c r="AU54" i="10"/>
  <c r="AP55" i="10"/>
  <c r="AT55" i="10"/>
  <c r="AS33" i="10"/>
  <c r="AQ34" i="10"/>
  <c r="AU34" i="10"/>
  <c r="AP35" i="10"/>
  <c r="AT35" i="10"/>
  <c r="AS37" i="10"/>
  <c r="AQ38" i="10"/>
  <c r="AU38" i="10"/>
  <c r="AR46" i="10"/>
  <c r="AR50" i="10"/>
  <c r="AR54" i="10"/>
  <c r="AP56" i="10"/>
  <c r="AT56" i="10"/>
  <c r="Z56" i="9"/>
  <c r="Z53" i="9"/>
  <c r="Z55" i="9"/>
  <c r="Z54" i="9"/>
  <c r="Z43" i="9"/>
  <c r="Z5" i="10"/>
  <c r="T1" i="9"/>
  <c r="S1" i="9"/>
  <c r="R1" i="9"/>
  <c r="Q1" i="9"/>
  <c r="P1" i="9"/>
  <c r="O1" i="9"/>
  <c r="N1" i="9"/>
  <c r="K44" i="4"/>
  <c r="K43" i="4"/>
  <c r="AN42" i="9"/>
  <c r="AM42" i="9"/>
  <c r="P42" i="9"/>
  <c r="AL42" i="9"/>
  <c r="AK42" i="9"/>
  <c r="AJ42" i="9"/>
  <c r="AI42" i="9"/>
  <c r="O42" i="9"/>
  <c r="AH42" i="9"/>
  <c r="AG42" i="9"/>
  <c r="N42" i="9"/>
  <c r="AF42" i="9"/>
  <c r="AE42" i="9"/>
  <c r="R42" i="9"/>
  <c r="AD42" i="9"/>
  <c r="AC42" i="9"/>
  <c r="Q42" i="9"/>
  <c r="AB42" i="9"/>
  <c r="AA42" i="9"/>
  <c r="S42" i="9"/>
  <c r="M42" i="9"/>
  <c r="L42" i="9"/>
  <c r="AN41" i="9"/>
  <c r="AM41" i="9"/>
  <c r="P41" i="9"/>
  <c r="AL41" i="9"/>
  <c r="AK41" i="9"/>
  <c r="T41" i="9"/>
  <c r="AJ41" i="9"/>
  <c r="AI41" i="9"/>
  <c r="O41" i="9"/>
  <c r="AH41" i="9"/>
  <c r="AG41" i="9"/>
  <c r="N41" i="9"/>
  <c r="AF41" i="9"/>
  <c r="AE41" i="9"/>
  <c r="R41" i="9"/>
  <c r="AD41" i="9"/>
  <c r="AC41" i="9"/>
  <c r="AB41" i="9"/>
  <c r="AA41" i="9"/>
  <c r="S41" i="9"/>
  <c r="M41" i="9"/>
  <c r="L41" i="9"/>
  <c r="AN40" i="9"/>
  <c r="AM40" i="9"/>
  <c r="P40" i="9"/>
  <c r="AL40" i="9"/>
  <c r="AK40" i="9"/>
  <c r="AJ40" i="9"/>
  <c r="AI40" i="9"/>
  <c r="O40" i="9"/>
  <c r="AH40" i="9"/>
  <c r="AG40" i="9"/>
  <c r="N40" i="9"/>
  <c r="AF40" i="9"/>
  <c r="AE40" i="9"/>
  <c r="R40" i="9"/>
  <c r="AD40" i="9"/>
  <c r="AC40" i="9"/>
  <c r="Q40" i="9"/>
  <c r="AB40" i="9"/>
  <c r="AA40" i="9"/>
  <c r="S40" i="9"/>
  <c r="M40" i="9"/>
  <c r="L40" i="9"/>
  <c r="AN39" i="9"/>
  <c r="AM39" i="9"/>
  <c r="P39" i="9"/>
  <c r="AL39" i="9"/>
  <c r="AK39" i="9"/>
  <c r="T39" i="9"/>
  <c r="AJ39" i="9"/>
  <c r="AI39" i="9"/>
  <c r="O39" i="9"/>
  <c r="AH39" i="9"/>
  <c r="AG39" i="9"/>
  <c r="N39" i="9"/>
  <c r="AF39" i="9"/>
  <c r="AE39" i="9"/>
  <c r="R39" i="9"/>
  <c r="AD39" i="9"/>
  <c r="AC39" i="9"/>
  <c r="Q39" i="9"/>
  <c r="AB39" i="9"/>
  <c r="AA39" i="9"/>
  <c r="S39" i="9"/>
  <c r="M39" i="9"/>
  <c r="L39" i="9"/>
  <c r="AN38" i="9"/>
  <c r="AM38" i="9"/>
  <c r="P38" i="9"/>
  <c r="AL38" i="9"/>
  <c r="AK38" i="9"/>
  <c r="T38" i="9"/>
  <c r="AJ38" i="9"/>
  <c r="AI38" i="9"/>
  <c r="O38" i="9"/>
  <c r="AH38" i="9"/>
  <c r="AG38" i="9"/>
  <c r="AF38" i="9"/>
  <c r="AE38" i="9"/>
  <c r="R38" i="9"/>
  <c r="AD38" i="9"/>
  <c r="AC38" i="9"/>
  <c r="Q38" i="9"/>
  <c r="AB38" i="9"/>
  <c r="AA38" i="9"/>
  <c r="S38" i="9"/>
  <c r="M38" i="9"/>
  <c r="L38" i="9"/>
  <c r="AN37" i="9"/>
  <c r="AM37" i="9"/>
  <c r="P37" i="9"/>
  <c r="AL37" i="9"/>
  <c r="AK37" i="9"/>
  <c r="T37" i="9"/>
  <c r="AJ37" i="9"/>
  <c r="AI37" i="9"/>
  <c r="O37" i="9"/>
  <c r="AH37" i="9"/>
  <c r="AG37" i="9"/>
  <c r="N37" i="9"/>
  <c r="AF37" i="9"/>
  <c r="AE37" i="9"/>
  <c r="R37" i="9"/>
  <c r="AD37" i="9"/>
  <c r="AC37" i="9"/>
  <c r="Q37" i="9"/>
  <c r="AB37" i="9"/>
  <c r="AA37" i="9"/>
  <c r="S37" i="9"/>
  <c r="M37" i="9"/>
  <c r="L37" i="9"/>
  <c r="AN36" i="9"/>
  <c r="AM36" i="9"/>
  <c r="P36" i="9"/>
  <c r="AL36" i="9"/>
  <c r="AK36" i="9"/>
  <c r="AJ36" i="9"/>
  <c r="AI36" i="9"/>
  <c r="O36" i="9"/>
  <c r="AH36" i="9"/>
  <c r="AG36" i="9"/>
  <c r="N36" i="9"/>
  <c r="AF36" i="9"/>
  <c r="AE36" i="9"/>
  <c r="R36" i="9"/>
  <c r="AD36" i="9"/>
  <c r="AC36" i="9"/>
  <c r="Q36" i="9"/>
  <c r="AB36" i="9"/>
  <c r="AA36" i="9"/>
  <c r="S36" i="9"/>
  <c r="M36" i="9"/>
  <c r="L36" i="9"/>
  <c r="AN35" i="9"/>
  <c r="AM35" i="9"/>
  <c r="P35" i="9"/>
  <c r="AL35" i="9"/>
  <c r="AK35" i="9"/>
  <c r="AJ35" i="9"/>
  <c r="AI35" i="9"/>
  <c r="O35" i="9"/>
  <c r="AH35" i="9"/>
  <c r="AG35" i="9"/>
  <c r="N35" i="9"/>
  <c r="AF35" i="9"/>
  <c r="AE35" i="9"/>
  <c r="R35" i="9"/>
  <c r="AD35" i="9"/>
  <c r="AC35" i="9"/>
  <c r="Q35" i="9"/>
  <c r="AB35" i="9"/>
  <c r="AA35" i="9"/>
  <c r="S35" i="9"/>
  <c r="M35" i="9"/>
  <c r="L35" i="9"/>
  <c r="AN34" i="9"/>
  <c r="AM34" i="9"/>
  <c r="P34" i="9"/>
  <c r="AL34" i="9"/>
  <c r="AK34" i="9"/>
  <c r="T34" i="9"/>
  <c r="AJ34" i="9"/>
  <c r="AI34" i="9"/>
  <c r="O34" i="9"/>
  <c r="AH34" i="9"/>
  <c r="AG34" i="9"/>
  <c r="N34" i="9"/>
  <c r="AF34" i="9"/>
  <c r="AE34" i="9"/>
  <c r="AD34" i="9"/>
  <c r="AC34" i="9"/>
  <c r="Q34" i="9"/>
  <c r="AB34" i="9"/>
  <c r="AA34" i="9"/>
  <c r="S34" i="9"/>
  <c r="M34" i="9"/>
  <c r="L34" i="9"/>
  <c r="AN33" i="9"/>
  <c r="AM33" i="9"/>
  <c r="P33" i="9"/>
  <c r="AL33" i="9"/>
  <c r="AK33" i="9"/>
  <c r="T33" i="9"/>
  <c r="AJ33" i="9"/>
  <c r="AI33" i="9"/>
  <c r="O33" i="9"/>
  <c r="AH33" i="9"/>
  <c r="AG33" i="9"/>
  <c r="N33" i="9"/>
  <c r="AF33" i="9"/>
  <c r="AE33" i="9"/>
  <c r="R33" i="9"/>
  <c r="AD33" i="9"/>
  <c r="AC33" i="9"/>
  <c r="AB33" i="9"/>
  <c r="AA33" i="9"/>
  <c r="S33" i="9"/>
  <c r="M33" i="9"/>
  <c r="L33" i="9"/>
  <c r="AN32" i="9"/>
  <c r="AM32" i="9"/>
  <c r="P32" i="9"/>
  <c r="AL32" i="9"/>
  <c r="AK32" i="9"/>
  <c r="AJ32" i="9"/>
  <c r="AI32" i="9"/>
  <c r="O32" i="9"/>
  <c r="AH32" i="9"/>
  <c r="AG32" i="9"/>
  <c r="N32" i="9"/>
  <c r="AF32" i="9"/>
  <c r="AE32" i="9"/>
  <c r="R32" i="9"/>
  <c r="AD32" i="9"/>
  <c r="AC32" i="9"/>
  <c r="Q32" i="9"/>
  <c r="AB32" i="9"/>
  <c r="AA32" i="9"/>
  <c r="S32" i="9"/>
  <c r="M32" i="9"/>
  <c r="L32" i="9"/>
  <c r="AN31" i="9"/>
  <c r="AM31" i="9"/>
  <c r="P31" i="9"/>
  <c r="AL31" i="9"/>
  <c r="AK31" i="9"/>
  <c r="AJ31" i="9"/>
  <c r="AI31" i="9"/>
  <c r="O31" i="9"/>
  <c r="AH31" i="9"/>
  <c r="AG31" i="9"/>
  <c r="N31" i="9"/>
  <c r="AF31" i="9"/>
  <c r="AE31" i="9"/>
  <c r="R31" i="9"/>
  <c r="AD31" i="9"/>
  <c r="AC31" i="9"/>
  <c r="Q31" i="9"/>
  <c r="AB31" i="9"/>
  <c r="AA31" i="9"/>
  <c r="S31" i="9"/>
  <c r="M31" i="9"/>
  <c r="L31" i="9"/>
  <c r="AN30" i="9"/>
  <c r="AM30" i="9"/>
  <c r="P30" i="9"/>
  <c r="AL30" i="9"/>
  <c r="AK30" i="9"/>
  <c r="T30" i="9"/>
  <c r="AJ30" i="9"/>
  <c r="AI30" i="9"/>
  <c r="O30" i="9"/>
  <c r="AH30" i="9"/>
  <c r="AG30" i="9"/>
  <c r="N30" i="9"/>
  <c r="AF30" i="9"/>
  <c r="AE30" i="9"/>
  <c r="AD30" i="9"/>
  <c r="AC30" i="9"/>
  <c r="AB30" i="9"/>
  <c r="AA30" i="9"/>
  <c r="S30" i="9"/>
  <c r="M30" i="9"/>
  <c r="L30" i="9"/>
  <c r="AN29" i="9"/>
  <c r="AM29" i="9"/>
  <c r="P29" i="9"/>
  <c r="AL29" i="9"/>
  <c r="AK29" i="9"/>
  <c r="T29" i="9"/>
  <c r="AJ29" i="9"/>
  <c r="AI29" i="9"/>
  <c r="O29" i="9"/>
  <c r="AH29" i="9"/>
  <c r="AG29" i="9"/>
  <c r="N29" i="9"/>
  <c r="AF29" i="9"/>
  <c r="AE29" i="9"/>
  <c r="R29" i="9"/>
  <c r="AD29" i="9"/>
  <c r="AC29" i="9"/>
  <c r="Q29" i="9"/>
  <c r="AB29" i="9"/>
  <c r="AA29" i="9"/>
  <c r="S29" i="9"/>
  <c r="M29" i="9"/>
  <c r="L29" i="9"/>
  <c r="AN28" i="9"/>
  <c r="AM28" i="9"/>
  <c r="P28" i="9"/>
  <c r="AL28" i="9"/>
  <c r="AK28" i="9"/>
  <c r="T28" i="9"/>
  <c r="AJ28" i="9"/>
  <c r="AI28" i="9"/>
  <c r="O28" i="9"/>
  <c r="AH28" i="9"/>
  <c r="AG28" i="9"/>
  <c r="AF28" i="9"/>
  <c r="AE28" i="9"/>
  <c r="R28" i="9"/>
  <c r="AD28" i="9"/>
  <c r="AC28" i="9"/>
  <c r="Q28" i="9"/>
  <c r="AB28" i="9"/>
  <c r="AA28" i="9"/>
  <c r="S28" i="9"/>
  <c r="M28" i="9"/>
  <c r="L28" i="9"/>
  <c r="AN27" i="9"/>
  <c r="AM27" i="9"/>
  <c r="P27" i="9"/>
  <c r="AL27" i="9"/>
  <c r="AK27" i="9"/>
  <c r="T27" i="9"/>
  <c r="AJ27" i="9"/>
  <c r="AI27" i="9"/>
  <c r="O27" i="9"/>
  <c r="AH27" i="9"/>
  <c r="AG27" i="9"/>
  <c r="N27" i="9"/>
  <c r="AF27" i="9"/>
  <c r="AE27" i="9"/>
  <c r="R27" i="9"/>
  <c r="AD27" i="9"/>
  <c r="AC27" i="9"/>
  <c r="Q27" i="9"/>
  <c r="AB27" i="9"/>
  <c r="AA27" i="9"/>
  <c r="S27" i="9"/>
  <c r="M27" i="9"/>
  <c r="L27" i="9"/>
  <c r="AN26" i="9"/>
  <c r="AM26" i="9"/>
  <c r="P26" i="9"/>
  <c r="AL26" i="9"/>
  <c r="AK26" i="9"/>
  <c r="T26" i="9"/>
  <c r="AJ26" i="9"/>
  <c r="AI26" i="9"/>
  <c r="O26" i="9"/>
  <c r="AH26" i="9"/>
  <c r="AG26" i="9"/>
  <c r="N26" i="9"/>
  <c r="AF26" i="9"/>
  <c r="AE26" i="9"/>
  <c r="R26" i="9"/>
  <c r="AD26" i="9"/>
  <c r="AC26" i="9"/>
  <c r="Q26" i="9"/>
  <c r="AB26" i="9"/>
  <c r="AA26" i="9"/>
  <c r="S26" i="9"/>
  <c r="M26" i="9"/>
  <c r="L26" i="9"/>
  <c r="AN25" i="9"/>
  <c r="AM25" i="9"/>
  <c r="P25" i="9"/>
  <c r="AL25" i="9"/>
  <c r="AK25" i="9"/>
  <c r="T25" i="9"/>
  <c r="AJ25" i="9"/>
  <c r="AI25" i="9"/>
  <c r="O25" i="9"/>
  <c r="AH25" i="9"/>
  <c r="AG25" i="9"/>
  <c r="N25" i="9"/>
  <c r="AF25" i="9"/>
  <c r="AE25" i="9"/>
  <c r="R25" i="9"/>
  <c r="AD25" i="9"/>
  <c r="AC25" i="9"/>
  <c r="Q25" i="9"/>
  <c r="AB25" i="9"/>
  <c r="AA25" i="9"/>
  <c r="S25" i="9"/>
  <c r="M25" i="9"/>
  <c r="L25" i="9"/>
  <c r="AN24" i="9"/>
  <c r="AM24" i="9"/>
  <c r="P24" i="9"/>
  <c r="AL24" i="9"/>
  <c r="AK24" i="9"/>
  <c r="AJ24" i="9"/>
  <c r="AI24" i="9"/>
  <c r="O24" i="9"/>
  <c r="AH24" i="9"/>
  <c r="AG24" i="9"/>
  <c r="N24" i="9"/>
  <c r="AF24" i="9"/>
  <c r="AE24" i="9"/>
  <c r="R24" i="9"/>
  <c r="AD24" i="9"/>
  <c r="AC24" i="9"/>
  <c r="Q24" i="9"/>
  <c r="AB24" i="9"/>
  <c r="AA24" i="9"/>
  <c r="S24" i="9"/>
  <c r="M24" i="9"/>
  <c r="L24" i="9"/>
  <c r="AN23" i="9"/>
  <c r="AM23" i="9"/>
  <c r="P23" i="9"/>
  <c r="AL23" i="9"/>
  <c r="AK23" i="9"/>
  <c r="AJ23" i="9"/>
  <c r="AI23" i="9"/>
  <c r="O23" i="9"/>
  <c r="AH23" i="9"/>
  <c r="AG23" i="9"/>
  <c r="N23" i="9"/>
  <c r="AF23" i="9"/>
  <c r="AE23" i="9"/>
  <c r="R23" i="9"/>
  <c r="AD23" i="9"/>
  <c r="AC23" i="9"/>
  <c r="Q23" i="9"/>
  <c r="AB23" i="9"/>
  <c r="AA23" i="9"/>
  <c r="S23" i="9"/>
  <c r="M23" i="9"/>
  <c r="L23" i="9"/>
  <c r="AN22" i="9"/>
  <c r="AM22" i="9"/>
  <c r="P22" i="9"/>
  <c r="AL22" i="9"/>
  <c r="AK22" i="9"/>
  <c r="T22" i="9"/>
  <c r="AJ22" i="9"/>
  <c r="AI22" i="9"/>
  <c r="O22" i="9"/>
  <c r="AH22" i="9"/>
  <c r="AG22" i="9"/>
  <c r="N22" i="9"/>
  <c r="AF22" i="9"/>
  <c r="AE22" i="9"/>
  <c r="AD22" i="9"/>
  <c r="AC22" i="9"/>
  <c r="Q22" i="9"/>
  <c r="AB22" i="9"/>
  <c r="AA22" i="9"/>
  <c r="S22" i="9"/>
  <c r="M22" i="9"/>
  <c r="L22" i="9"/>
  <c r="AN21" i="9"/>
  <c r="AM21" i="9"/>
  <c r="P21" i="9"/>
  <c r="AL21" i="9"/>
  <c r="AK21" i="9"/>
  <c r="T21" i="9"/>
  <c r="AJ21" i="9"/>
  <c r="AI21" i="9"/>
  <c r="O21" i="9"/>
  <c r="AH21" i="9"/>
  <c r="AG21" i="9"/>
  <c r="N21" i="9"/>
  <c r="AF21" i="9"/>
  <c r="AE21" i="9"/>
  <c r="R21" i="9"/>
  <c r="AD21" i="9"/>
  <c r="AC21" i="9"/>
  <c r="Q21" i="9"/>
  <c r="AB21" i="9"/>
  <c r="AA21" i="9"/>
  <c r="S21" i="9"/>
  <c r="M21" i="9"/>
  <c r="L21" i="9"/>
  <c r="AN20" i="9"/>
  <c r="AM20" i="9"/>
  <c r="P20" i="9"/>
  <c r="AL20" i="9"/>
  <c r="AK20" i="9"/>
  <c r="T20" i="9"/>
  <c r="AJ20" i="9"/>
  <c r="AI20" i="9"/>
  <c r="O20" i="9"/>
  <c r="AH20" i="9"/>
  <c r="AG20" i="9"/>
  <c r="N20" i="9"/>
  <c r="AF20" i="9"/>
  <c r="AE20" i="9"/>
  <c r="R20" i="9"/>
  <c r="AD20" i="9"/>
  <c r="AC20" i="9"/>
  <c r="Q20" i="9"/>
  <c r="AB20" i="9"/>
  <c r="AA20" i="9"/>
  <c r="S20" i="9"/>
  <c r="M20" i="9"/>
  <c r="L20" i="9"/>
  <c r="AN19" i="9"/>
  <c r="AM19" i="9"/>
  <c r="P19" i="9"/>
  <c r="AL19" i="9"/>
  <c r="AK19" i="9"/>
  <c r="T19" i="9"/>
  <c r="AJ19" i="9"/>
  <c r="AI19" i="9"/>
  <c r="O19" i="9"/>
  <c r="AH19" i="9"/>
  <c r="AG19" i="9"/>
  <c r="N19" i="9"/>
  <c r="AF19" i="9"/>
  <c r="AE19" i="9"/>
  <c r="R19" i="9"/>
  <c r="AD19" i="9"/>
  <c r="AC19" i="9"/>
  <c r="Q19" i="9"/>
  <c r="AB19" i="9"/>
  <c r="AA19" i="9"/>
  <c r="S19" i="9"/>
  <c r="M19" i="9"/>
  <c r="L19" i="9"/>
  <c r="AN18" i="9"/>
  <c r="AM18" i="9"/>
  <c r="P18" i="9"/>
  <c r="AL18" i="9"/>
  <c r="AK18" i="9"/>
  <c r="T18" i="9"/>
  <c r="AJ18" i="9"/>
  <c r="AI18" i="9"/>
  <c r="O18" i="9"/>
  <c r="AH18" i="9"/>
  <c r="AG18" i="9"/>
  <c r="N18" i="9"/>
  <c r="AF18" i="9"/>
  <c r="AE18" i="9"/>
  <c r="R18" i="9"/>
  <c r="AD18" i="9"/>
  <c r="AC18" i="9"/>
  <c r="Q18" i="9"/>
  <c r="AB18" i="9"/>
  <c r="AA18" i="9"/>
  <c r="S18" i="9"/>
  <c r="M18" i="9"/>
  <c r="L18" i="9"/>
  <c r="AN17" i="9"/>
  <c r="AM17" i="9"/>
  <c r="P17" i="9"/>
  <c r="AL17" i="9"/>
  <c r="AK17" i="9"/>
  <c r="T17" i="9"/>
  <c r="AJ17" i="9"/>
  <c r="AI17" i="9"/>
  <c r="O17" i="9"/>
  <c r="AH17" i="9"/>
  <c r="AG17" i="9"/>
  <c r="N17" i="9"/>
  <c r="AF17" i="9"/>
  <c r="AE17" i="9"/>
  <c r="R17" i="9"/>
  <c r="AD17" i="9"/>
  <c r="AC17" i="9"/>
  <c r="Q17" i="9"/>
  <c r="AB17" i="9"/>
  <c r="AA17" i="9"/>
  <c r="S17" i="9"/>
  <c r="M17" i="9"/>
  <c r="L17" i="9"/>
  <c r="AN16" i="9"/>
  <c r="AM16" i="9"/>
  <c r="P16" i="9"/>
  <c r="AL16" i="9"/>
  <c r="AK16" i="9"/>
  <c r="AJ16" i="9"/>
  <c r="AI16" i="9"/>
  <c r="O16" i="9"/>
  <c r="AH16" i="9"/>
  <c r="AG16" i="9"/>
  <c r="N16" i="9"/>
  <c r="AF16" i="9"/>
  <c r="AE16" i="9"/>
  <c r="R16" i="9"/>
  <c r="AD16" i="9"/>
  <c r="AC16" i="9"/>
  <c r="Q16" i="9"/>
  <c r="AB16" i="9"/>
  <c r="AA16" i="9"/>
  <c r="S16" i="9"/>
  <c r="M16" i="9"/>
  <c r="L16" i="9"/>
  <c r="AN15" i="9"/>
  <c r="AM15" i="9"/>
  <c r="P15" i="9"/>
  <c r="AL15" i="9"/>
  <c r="AK15" i="9"/>
  <c r="AJ15" i="9"/>
  <c r="AI15" i="9"/>
  <c r="O15" i="9"/>
  <c r="AH15" i="9"/>
  <c r="AG15" i="9"/>
  <c r="N15" i="9"/>
  <c r="AF15" i="9"/>
  <c r="AE15" i="9"/>
  <c r="R15" i="9"/>
  <c r="AD15" i="9"/>
  <c r="AC15" i="9"/>
  <c r="Q15" i="9"/>
  <c r="AB15" i="9"/>
  <c r="AA15" i="9"/>
  <c r="S15" i="9"/>
  <c r="M15" i="9"/>
  <c r="L15" i="9"/>
  <c r="AN14" i="9"/>
  <c r="AM14" i="9"/>
  <c r="P14" i="9"/>
  <c r="AL14" i="9"/>
  <c r="AK14" i="9"/>
  <c r="T14" i="9"/>
  <c r="AJ14" i="9"/>
  <c r="AI14" i="9"/>
  <c r="O14" i="9"/>
  <c r="AH14" i="9"/>
  <c r="AG14" i="9"/>
  <c r="N14" i="9"/>
  <c r="AF14" i="9"/>
  <c r="AE14" i="9"/>
  <c r="AD14" i="9"/>
  <c r="AC14" i="9"/>
  <c r="Q14" i="9"/>
  <c r="AB14" i="9"/>
  <c r="AA14" i="9"/>
  <c r="S14" i="9"/>
  <c r="M14" i="9"/>
  <c r="L14" i="9"/>
  <c r="AN13" i="9"/>
  <c r="AM13" i="9"/>
  <c r="P13" i="9"/>
  <c r="AL13" i="9"/>
  <c r="AK13" i="9"/>
  <c r="T13" i="9"/>
  <c r="AJ13" i="9"/>
  <c r="AI13" i="9"/>
  <c r="O13" i="9"/>
  <c r="AH13" i="9"/>
  <c r="AG13" i="9"/>
  <c r="N13" i="9"/>
  <c r="AF13" i="9"/>
  <c r="AE13" i="9"/>
  <c r="R13" i="9"/>
  <c r="AD13" i="9"/>
  <c r="AC13" i="9"/>
  <c r="AB13" i="9"/>
  <c r="AA13" i="9"/>
  <c r="S13" i="9"/>
  <c r="M13" i="9"/>
  <c r="L13" i="9"/>
  <c r="AN12" i="9"/>
  <c r="AM12" i="9"/>
  <c r="P12" i="9"/>
  <c r="AL12" i="9"/>
  <c r="AK12" i="9"/>
  <c r="T12" i="9"/>
  <c r="AJ12" i="9"/>
  <c r="AI12" i="9"/>
  <c r="O12" i="9"/>
  <c r="AH12" i="9"/>
  <c r="AG12" i="9"/>
  <c r="N12" i="9"/>
  <c r="AF12" i="9"/>
  <c r="AE12" i="9"/>
  <c r="R12" i="9"/>
  <c r="AD12" i="9"/>
  <c r="AC12" i="9"/>
  <c r="Q12" i="9"/>
  <c r="AB12" i="9"/>
  <c r="AA12" i="9"/>
  <c r="S12" i="9"/>
  <c r="M12" i="9"/>
  <c r="L12" i="9"/>
  <c r="AN11" i="9"/>
  <c r="AM11" i="9"/>
  <c r="P11" i="9"/>
  <c r="AL11" i="9"/>
  <c r="AK11" i="9"/>
  <c r="T11" i="9"/>
  <c r="AJ11" i="9"/>
  <c r="AI11" i="9"/>
  <c r="O11" i="9"/>
  <c r="AH11" i="9"/>
  <c r="AG11" i="9"/>
  <c r="N11" i="9"/>
  <c r="AF11" i="9"/>
  <c r="AE11" i="9"/>
  <c r="R11" i="9"/>
  <c r="AD11" i="9"/>
  <c r="AC11" i="9"/>
  <c r="Q11" i="9"/>
  <c r="AB11" i="9"/>
  <c r="AA11" i="9"/>
  <c r="S11" i="9"/>
  <c r="M11" i="9"/>
  <c r="L11" i="9"/>
  <c r="AN10" i="9"/>
  <c r="AM10" i="9"/>
  <c r="P10" i="9"/>
  <c r="AL10" i="9"/>
  <c r="AK10" i="9"/>
  <c r="T10" i="9"/>
  <c r="AJ10" i="9"/>
  <c r="AI10" i="9"/>
  <c r="O10" i="9"/>
  <c r="AH10" i="9"/>
  <c r="AG10" i="9"/>
  <c r="N10" i="9"/>
  <c r="AF10" i="9"/>
  <c r="AE10" i="9"/>
  <c r="R10" i="9"/>
  <c r="AD10" i="9"/>
  <c r="AC10" i="9"/>
  <c r="Q10" i="9"/>
  <c r="AB10" i="9"/>
  <c r="AA10" i="9"/>
  <c r="S10" i="9"/>
  <c r="M10" i="9"/>
  <c r="L10" i="9"/>
  <c r="AN9" i="9"/>
  <c r="AM9" i="9"/>
  <c r="P9" i="9"/>
  <c r="AL9" i="9"/>
  <c r="AK9" i="9"/>
  <c r="AJ9" i="9"/>
  <c r="AI9" i="9"/>
  <c r="O9" i="9"/>
  <c r="AH9" i="9"/>
  <c r="AG9" i="9"/>
  <c r="N9" i="9"/>
  <c r="AF9" i="9"/>
  <c r="AE9" i="9"/>
  <c r="R9" i="9"/>
  <c r="AD9" i="9"/>
  <c r="AC9" i="9"/>
  <c r="Q9" i="9"/>
  <c r="AB9" i="9"/>
  <c r="AA9" i="9"/>
  <c r="S9" i="9"/>
  <c r="M9" i="9"/>
  <c r="L9" i="9"/>
  <c r="AN8" i="9"/>
  <c r="AM8" i="9"/>
  <c r="P8" i="9"/>
  <c r="AL8" i="9"/>
  <c r="AK8" i="9"/>
  <c r="T8" i="9"/>
  <c r="AJ8" i="9"/>
  <c r="AI8" i="9"/>
  <c r="O8" i="9"/>
  <c r="AH8" i="9"/>
  <c r="AG8" i="9"/>
  <c r="N8" i="9"/>
  <c r="AF8" i="9"/>
  <c r="AE8" i="9"/>
  <c r="R8" i="9"/>
  <c r="AD8" i="9"/>
  <c r="AC8" i="9"/>
  <c r="Q8" i="9"/>
  <c r="AB8" i="9"/>
  <c r="AA8" i="9"/>
  <c r="S8" i="9"/>
  <c r="M8" i="9"/>
  <c r="L8" i="9"/>
  <c r="AN7" i="9"/>
  <c r="AM7" i="9"/>
  <c r="P7" i="9"/>
  <c r="AL7" i="9"/>
  <c r="AK7" i="9"/>
  <c r="T7" i="9"/>
  <c r="AJ7" i="9"/>
  <c r="AI7" i="9"/>
  <c r="O7" i="9"/>
  <c r="AH7" i="9"/>
  <c r="AG7" i="9"/>
  <c r="AF7" i="9"/>
  <c r="AE7" i="9"/>
  <c r="R7" i="9"/>
  <c r="AD7" i="9"/>
  <c r="AC7" i="9"/>
  <c r="Q7" i="9"/>
  <c r="AB7" i="9"/>
  <c r="AA7" i="9"/>
  <c r="S7" i="9"/>
  <c r="M7" i="9"/>
  <c r="L7" i="9"/>
  <c r="AN6" i="9"/>
  <c r="AM6" i="9"/>
  <c r="P6" i="9"/>
  <c r="AL6" i="9"/>
  <c r="AK6" i="9"/>
  <c r="AJ6" i="9"/>
  <c r="AI6" i="9"/>
  <c r="O6" i="9"/>
  <c r="AH6" i="9"/>
  <c r="AG6" i="9"/>
  <c r="AF6" i="9"/>
  <c r="AE6" i="9"/>
  <c r="R6" i="9"/>
  <c r="AD6" i="9"/>
  <c r="AC6" i="9"/>
  <c r="AB6" i="9"/>
  <c r="AA6" i="9"/>
  <c r="S6" i="9"/>
  <c r="M6" i="9"/>
  <c r="L6" i="9"/>
  <c r="X42" i="9"/>
  <c r="T42" i="9"/>
  <c r="Q41" i="9"/>
  <c r="X41" i="9"/>
  <c r="T40" i="9"/>
  <c r="X40" i="9"/>
  <c r="X39" i="9"/>
  <c r="X38" i="9"/>
  <c r="N38" i="9"/>
  <c r="X37" i="9"/>
  <c r="X36" i="9"/>
  <c r="X35" i="9"/>
  <c r="X34" i="9"/>
  <c r="Q33" i="9"/>
  <c r="X33" i="9"/>
  <c r="T32" i="9"/>
  <c r="X32" i="9"/>
  <c r="X31" i="9"/>
  <c r="X30" i="9"/>
  <c r="Q30" i="9"/>
  <c r="X29" i="9"/>
  <c r="N28" i="9"/>
  <c r="X28" i="9"/>
  <c r="X27" i="9"/>
  <c r="X26" i="9"/>
  <c r="X25" i="9"/>
  <c r="X24" i="9"/>
  <c r="X23" i="9"/>
  <c r="X22" i="9"/>
  <c r="X21" i="9"/>
  <c r="X20" i="9"/>
  <c r="X19" i="9"/>
  <c r="X18" i="9"/>
  <c r="X17" i="9"/>
  <c r="X16" i="9"/>
  <c r="X15" i="9"/>
  <c r="X14" i="9"/>
  <c r="Q13" i="9"/>
  <c r="X13" i="9"/>
  <c r="X12" i="9"/>
  <c r="X11" i="9"/>
  <c r="X10" i="9"/>
  <c r="X9" i="9"/>
  <c r="T9" i="9"/>
  <c r="X8" i="9"/>
  <c r="X7" i="9"/>
  <c r="N7" i="9"/>
  <c r="X6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L5" i="9"/>
  <c r="M5" i="9"/>
  <c r="Z32" i="9"/>
  <c r="Q6" i="9"/>
  <c r="N6" i="9"/>
  <c r="T6" i="9"/>
  <c r="Z39" i="9"/>
  <c r="Z28" i="9"/>
  <c r="Z27" i="9"/>
  <c r="Z20" i="9"/>
  <c r="Z12" i="9"/>
  <c r="Z8" i="9"/>
  <c r="Z7" i="9"/>
  <c r="Z19" i="9"/>
  <c r="Z40" i="9"/>
  <c r="Z11" i="9"/>
  <c r="Z25" i="9"/>
  <c r="Z26" i="9"/>
  <c r="Z9" i="9"/>
  <c r="Z10" i="9"/>
  <c r="Z13" i="9"/>
  <c r="R14" i="9"/>
  <c r="Z14" i="9"/>
  <c r="T15" i="9"/>
  <c r="Z15" i="9"/>
  <c r="T16" i="9"/>
  <c r="Z16" i="9"/>
  <c r="Z29" i="9"/>
  <c r="R30" i="9"/>
  <c r="Z30" i="9"/>
  <c r="T31" i="9"/>
  <c r="Z31" i="9"/>
  <c r="Z33" i="9"/>
  <c r="R34" i="9"/>
  <c r="Z34" i="9"/>
  <c r="T35" i="9"/>
  <c r="Z35" i="9"/>
  <c r="T36" i="9"/>
  <c r="Z36" i="9"/>
  <c r="Z41" i="9"/>
  <c r="Z17" i="9"/>
  <c r="Z18" i="9"/>
  <c r="Z37" i="9"/>
  <c r="Z38" i="9"/>
  <c r="Z42" i="9"/>
  <c r="Z21" i="9"/>
  <c r="R22" i="9"/>
  <c r="Z22" i="9"/>
  <c r="T23" i="9"/>
  <c r="Z23" i="9"/>
  <c r="T24" i="9"/>
  <c r="Z24" i="9"/>
  <c r="Z6" i="9"/>
  <c r="AV56" i="9"/>
  <c r="AU56" i="9"/>
  <c r="AT56" i="9"/>
  <c r="AS56" i="9"/>
  <c r="AR56" i="9"/>
  <c r="AQ56" i="9"/>
  <c r="AP56" i="9"/>
  <c r="AV55" i="9"/>
  <c r="AU55" i="9"/>
  <c r="AT55" i="9"/>
  <c r="AS55" i="9"/>
  <c r="AR55" i="9"/>
  <c r="AQ55" i="9"/>
  <c r="AP55" i="9"/>
  <c r="AV54" i="9"/>
  <c r="AU54" i="9"/>
  <c r="AT54" i="9"/>
  <c r="AS54" i="9"/>
  <c r="AR54" i="9"/>
  <c r="AQ54" i="9"/>
  <c r="AP54" i="9"/>
  <c r="AV53" i="9"/>
  <c r="AU53" i="9"/>
  <c r="AT53" i="9"/>
  <c r="AS53" i="9"/>
  <c r="AR53" i="9"/>
  <c r="AQ53" i="9"/>
  <c r="AP53" i="9"/>
  <c r="AV52" i="9"/>
  <c r="AU52" i="9"/>
  <c r="AT52" i="9"/>
  <c r="AS52" i="9"/>
  <c r="AR52" i="9"/>
  <c r="AQ52" i="9"/>
  <c r="AP52" i="9"/>
  <c r="AV51" i="9"/>
  <c r="AU51" i="9"/>
  <c r="AT51" i="9"/>
  <c r="AS51" i="9"/>
  <c r="AR51" i="9"/>
  <c r="AQ51" i="9"/>
  <c r="AP51" i="9"/>
  <c r="AV50" i="9"/>
  <c r="AU50" i="9"/>
  <c r="AT50" i="9"/>
  <c r="AS50" i="9"/>
  <c r="AR50" i="9"/>
  <c r="AQ50" i="9"/>
  <c r="AP50" i="9"/>
  <c r="AV49" i="9"/>
  <c r="AU49" i="9"/>
  <c r="AT49" i="9"/>
  <c r="AS49" i="9"/>
  <c r="AR49" i="9"/>
  <c r="AQ49" i="9"/>
  <c r="AP49" i="9"/>
  <c r="AV48" i="9"/>
  <c r="AU48" i="9"/>
  <c r="AT48" i="9"/>
  <c r="AS48" i="9"/>
  <c r="AR48" i="9"/>
  <c r="AQ48" i="9"/>
  <c r="AP48" i="9"/>
  <c r="AV47" i="9"/>
  <c r="AU47" i="9"/>
  <c r="AT47" i="9"/>
  <c r="AS47" i="9"/>
  <c r="AR47" i="9"/>
  <c r="AQ47" i="9"/>
  <c r="AP47" i="9"/>
  <c r="AV46" i="9"/>
  <c r="AU46" i="9"/>
  <c r="AT46" i="9"/>
  <c r="AS46" i="9"/>
  <c r="AR46" i="9"/>
  <c r="AQ46" i="9"/>
  <c r="AP46" i="9"/>
  <c r="AV45" i="9"/>
  <c r="AU45" i="9"/>
  <c r="AT45" i="9"/>
  <c r="AS45" i="9"/>
  <c r="AR45" i="9"/>
  <c r="AQ45" i="9"/>
  <c r="AP45" i="9"/>
  <c r="AV44" i="9"/>
  <c r="AU44" i="9"/>
  <c r="AT44" i="9"/>
  <c r="AS44" i="9"/>
  <c r="AR44" i="9"/>
  <c r="AQ44" i="9"/>
  <c r="AP44" i="9"/>
  <c r="AV43" i="9"/>
  <c r="AU43" i="9"/>
  <c r="AT43" i="9"/>
  <c r="AS43" i="9"/>
  <c r="AR43" i="9"/>
  <c r="AQ43" i="9"/>
  <c r="AP43" i="9"/>
  <c r="AV42" i="9"/>
  <c r="AU42" i="9"/>
  <c r="AT42" i="9"/>
  <c r="AS42" i="9"/>
  <c r="AR42" i="9"/>
  <c r="AQ42" i="9"/>
  <c r="AP42" i="9"/>
  <c r="AV41" i="9"/>
  <c r="AU41" i="9"/>
  <c r="AT41" i="9"/>
  <c r="AS41" i="9"/>
  <c r="AR41" i="9"/>
  <c r="AQ41" i="9"/>
  <c r="AP41" i="9"/>
  <c r="AV40" i="9"/>
  <c r="AU40" i="9"/>
  <c r="AT40" i="9"/>
  <c r="AS40" i="9"/>
  <c r="AR40" i="9"/>
  <c r="AQ40" i="9"/>
  <c r="AP40" i="9"/>
  <c r="AV39" i="9"/>
  <c r="AU39" i="9"/>
  <c r="AT39" i="9"/>
  <c r="AS39" i="9"/>
  <c r="AR39" i="9"/>
  <c r="AQ39" i="9"/>
  <c r="AP39" i="9"/>
  <c r="AV38" i="9"/>
  <c r="AU38" i="9"/>
  <c r="AT38" i="9"/>
  <c r="AS38" i="9"/>
  <c r="AR38" i="9"/>
  <c r="AQ38" i="9"/>
  <c r="AP38" i="9"/>
  <c r="AV37" i="9"/>
  <c r="AU37" i="9"/>
  <c r="AT37" i="9"/>
  <c r="AS37" i="9"/>
  <c r="AR37" i="9"/>
  <c r="AQ37" i="9"/>
  <c r="AP37" i="9"/>
  <c r="AV36" i="9"/>
  <c r="AU36" i="9"/>
  <c r="AT36" i="9"/>
  <c r="AS36" i="9"/>
  <c r="AR36" i="9"/>
  <c r="AQ36" i="9"/>
  <c r="AP36" i="9"/>
  <c r="AV35" i="9"/>
  <c r="AU35" i="9"/>
  <c r="AT35" i="9"/>
  <c r="AS35" i="9"/>
  <c r="AR35" i="9"/>
  <c r="AQ35" i="9"/>
  <c r="AP35" i="9"/>
  <c r="AV34" i="9"/>
  <c r="AU34" i="9"/>
  <c r="AT34" i="9"/>
  <c r="AS34" i="9"/>
  <c r="AR34" i="9"/>
  <c r="AQ34" i="9"/>
  <c r="AP34" i="9"/>
  <c r="AV33" i="9"/>
  <c r="AU33" i="9"/>
  <c r="AT33" i="9"/>
  <c r="AS33" i="9"/>
  <c r="AR33" i="9"/>
  <c r="AQ33" i="9"/>
  <c r="AP33" i="9"/>
  <c r="AV32" i="9"/>
  <c r="AU32" i="9"/>
  <c r="AT32" i="9"/>
  <c r="AS32" i="9"/>
  <c r="AR32" i="9"/>
  <c r="AQ32" i="9"/>
  <c r="AP32" i="9"/>
  <c r="AV31" i="9"/>
  <c r="AU31" i="9"/>
  <c r="AT31" i="9"/>
  <c r="AS31" i="9"/>
  <c r="AR31" i="9"/>
  <c r="AQ31" i="9"/>
  <c r="AP31" i="9"/>
  <c r="AV30" i="9"/>
  <c r="AU30" i="9"/>
  <c r="AT30" i="9"/>
  <c r="AS30" i="9"/>
  <c r="AR30" i="9"/>
  <c r="AQ30" i="9"/>
  <c r="AP30" i="9"/>
  <c r="AV29" i="9"/>
  <c r="AU29" i="9"/>
  <c r="AT29" i="9"/>
  <c r="AS29" i="9"/>
  <c r="AR29" i="9"/>
  <c r="AQ29" i="9"/>
  <c r="AP29" i="9"/>
  <c r="AV28" i="9"/>
  <c r="AU28" i="9"/>
  <c r="AT28" i="9"/>
  <c r="AS28" i="9"/>
  <c r="AR28" i="9"/>
  <c r="AQ28" i="9"/>
  <c r="AP28" i="9"/>
  <c r="AV27" i="9"/>
  <c r="AU27" i="9"/>
  <c r="AT27" i="9"/>
  <c r="AS27" i="9"/>
  <c r="AR27" i="9"/>
  <c r="AQ27" i="9"/>
  <c r="AP27" i="9"/>
  <c r="AV26" i="9"/>
  <c r="AU26" i="9"/>
  <c r="AT26" i="9"/>
  <c r="AS26" i="9"/>
  <c r="AR26" i="9"/>
  <c r="AQ26" i="9"/>
  <c r="AP26" i="9"/>
  <c r="AV25" i="9"/>
  <c r="AU25" i="9"/>
  <c r="AT25" i="9"/>
  <c r="AS25" i="9"/>
  <c r="AR25" i="9"/>
  <c r="AQ25" i="9"/>
  <c r="AP25" i="9"/>
  <c r="AV24" i="9"/>
  <c r="AU24" i="9"/>
  <c r="AT24" i="9"/>
  <c r="AS24" i="9"/>
  <c r="AR24" i="9"/>
  <c r="AQ24" i="9"/>
  <c r="AP24" i="9"/>
  <c r="AV23" i="9"/>
  <c r="AU23" i="9"/>
  <c r="AT23" i="9"/>
  <c r="AS23" i="9"/>
  <c r="AR23" i="9"/>
  <c r="AQ23" i="9"/>
  <c r="AP23" i="9"/>
  <c r="AV22" i="9"/>
  <c r="AU22" i="9"/>
  <c r="AT22" i="9"/>
  <c r="AS22" i="9"/>
  <c r="AR22" i="9"/>
  <c r="AQ22" i="9"/>
  <c r="AP22" i="9"/>
  <c r="AV21" i="9"/>
  <c r="AU21" i="9"/>
  <c r="AT21" i="9"/>
  <c r="AS21" i="9"/>
  <c r="AR21" i="9"/>
  <c r="AQ21" i="9"/>
  <c r="AP21" i="9"/>
  <c r="AV20" i="9"/>
  <c r="AU20" i="9"/>
  <c r="AT20" i="9"/>
  <c r="AS20" i="9"/>
  <c r="AR20" i="9"/>
  <c r="AQ20" i="9"/>
  <c r="AP20" i="9"/>
  <c r="AV19" i="9"/>
  <c r="AU19" i="9"/>
  <c r="AT19" i="9"/>
  <c r="AS19" i="9"/>
  <c r="AR19" i="9"/>
  <c r="AQ19" i="9"/>
  <c r="AP19" i="9"/>
  <c r="AV18" i="9"/>
  <c r="AU18" i="9"/>
  <c r="AT18" i="9"/>
  <c r="AS18" i="9"/>
  <c r="AR18" i="9"/>
  <c r="AQ18" i="9"/>
  <c r="AP18" i="9"/>
  <c r="AV17" i="9"/>
  <c r="AU17" i="9"/>
  <c r="AT17" i="9"/>
  <c r="AS17" i="9"/>
  <c r="AR17" i="9"/>
  <c r="AQ17" i="9"/>
  <c r="AP17" i="9"/>
  <c r="AV16" i="9"/>
  <c r="AU16" i="9"/>
  <c r="AT16" i="9"/>
  <c r="AS16" i="9"/>
  <c r="AR16" i="9"/>
  <c r="AQ16" i="9"/>
  <c r="AP16" i="9"/>
  <c r="AV15" i="9"/>
  <c r="AU15" i="9"/>
  <c r="AT15" i="9"/>
  <c r="AS15" i="9"/>
  <c r="AR15" i="9"/>
  <c r="AQ15" i="9"/>
  <c r="AP15" i="9"/>
  <c r="AV14" i="9"/>
  <c r="AU14" i="9"/>
  <c r="AT14" i="9"/>
  <c r="AS14" i="9"/>
  <c r="AR14" i="9"/>
  <c r="AQ14" i="9"/>
  <c r="AP14" i="9"/>
  <c r="AV13" i="9"/>
  <c r="AU13" i="9"/>
  <c r="AT13" i="9"/>
  <c r="AS13" i="9"/>
  <c r="AR13" i="9"/>
  <c r="AQ13" i="9"/>
  <c r="AP13" i="9"/>
  <c r="AV12" i="9"/>
  <c r="AU12" i="9"/>
  <c r="AT12" i="9"/>
  <c r="AS12" i="9"/>
  <c r="AR12" i="9"/>
  <c r="AQ12" i="9"/>
  <c r="AP12" i="9"/>
  <c r="AV11" i="9"/>
  <c r="AU11" i="9"/>
  <c r="AT11" i="9"/>
  <c r="AS11" i="9"/>
  <c r="AR11" i="9"/>
  <c r="AQ11" i="9"/>
  <c r="AP11" i="9"/>
  <c r="AV10" i="9"/>
  <c r="AU10" i="9"/>
  <c r="AT10" i="9"/>
  <c r="AS10" i="9"/>
  <c r="AR10" i="9"/>
  <c r="AQ10" i="9"/>
  <c r="AP10" i="9"/>
  <c r="AV9" i="9"/>
  <c r="AU9" i="9"/>
  <c r="AT9" i="9"/>
  <c r="AS9" i="9"/>
  <c r="AR9" i="9"/>
  <c r="AQ9" i="9"/>
  <c r="AP9" i="9"/>
  <c r="AV8" i="9"/>
  <c r="AU8" i="9"/>
  <c r="AT8" i="9"/>
  <c r="AS8" i="9"/>
  <c r="AR8" i="9"/>
  <c r="AQ8" i="9"/>
  <c r="AP8" i="9"/>
  <c r="AV7" i="9"/>
  <c r="AU7" i="9"/>
  <c r="AT7" i="9"/>
  <c r="AS7" i="9"/>
  <c r="AR7" i="9"/>
  <c r="AQ7" i="9"/>
  <c r="AP7" i="9"/>
  <c r="AV6" i="9"/>
  <c r="AU6" i="9"/>
  <c r="AT6" i="9"/>
  <c r="AS6" i="9"/>
  <c r="AR6" i="9"/>
  <c r="AQ6" i="9"/>
  <c r="AP6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16" i="9"/>
  <c r="A7" i="9"/>
  <c r="A8" i="9"/>
  <c r="A9" i="9"/>
  <c r="A10" i="9"/>
  <c r="A11" i="9"/>
  <c r="A12" i="9"/>
  <c r="A13" i="9"/>
  <c r="A14" i="9"/>
  <c r="A15" i="9"/>
  <c r="A6" i="9"/>
  <c r="AV5" i="9"/>
  <c r="AU5" i="9"/>
  <c r="AT5" i="9"/>
  <c r="AS5" i="9"/>
  <c r="AR5" i="9"/>
  <c r="AQ5" i="9"/>
  <c r="AP5" i="9"/>
  <c r="X5" i="9"/>
  <c r="T5" i="9"/>
  <c r="S5" i="9"/>
  <c r="R5" i="9"/>
  <c r="Q5" i="9"/>
  <c r="P5" i="9"/>
  <c r="O5" i="9"/>
  <c r="N5" i="9"/>
  <c r="Z5" i="9"/>
  <c r="J1" i="4"/>
  <c r="K1" i="4"/>
  <c r="L1" i="4"/>
  <c r="AZ62" i="6"/>
  <c r="AX62" i="6"/>
  <c r="AW62" i="6"/>
  <c r="AZ61" i="6"/>
  <c r="AX61" i="6"/>
  <c r="AW61" i="6"/>
  <c r="AZ60" i="6"/>
  <c r="AX60" i="6"/>
  <c r="AW60" i="6"/>
  <c r="AZ59" i="6"/>
  <c r="AX59" i="6"/>
  <c r="AW59" i="6"/>
  <c r="AZ58" i="6"/>
  <c r="AX58" i="6"/>
  <c r="AW58" i="6"/>
  <c r="AZ57" i="6"/>
  <c r="AX57" i="6"/>
  <c r="AW57" i="6"/>
  <c r="AZ56" i="6"/>
  <c r="AX56" i="6"/>
  <c r="AW56" i="6"/>
  <c r="AZ55" i="6"/>
  <c r="AX55" i="6"/>
  <c r="AW55" i="6"/>
  <c r="AZ54" i="6"/>
  <c r="AX54" i="6"/>
  <c r="AW54" i="6"/>
  <c r="AZ53" i="6"/>
  <c r="AX53" i="6"/>
  <c r="AW53" i="6"/>
  <c r="AZ52" i="6"/>
  <c r="AX52" i="6"/>
  <c r="AW52" i="6"/>
  <c r="AZ51" i="6"/>
  <c r="AX51" i="6"/>
  <c r="AW51" i="6"/>
  <c r="AZ50" i="6"/>
  <c r="AX50" i="6"/>
  <c r="AW50" i="6"/>
  <c r="AZ49" i="6"/>
  <c r="AX49" i="6"/>
  <c r="AW49" i="6"/>
  <c r="AZ62" i="5"/>
  <c r="AX62" i="5"/>
  <c r="AZ61" i="5"/>
  <c r="AX61" i="5"/>
  <c r="AZ60" i="5"/>
  <c r="AX60" i="5"/>
  <c r="AZ59" i="5"/>
  <c r="AX59" i="5"/>
  <c r="AZ58" i="5"/>
  <c r="AX58" i="5"/>
  <c r="AZ57" i="5"/>
  <c r="AX57" i="5"/>
  <c r="AZ56" i="5"/>
  <c r="AX56" i="5"/>
  <c r="AZ55" i="5"/>
  <c r="AX55" i="5"/>
  <c r="AZ54" i="5"/>
  <c r="AX54" i="5"/>
  <c r="AZ53" i="5"/>
  <c r="AX53" i="5"/>
  <c r="AZ52" i="5"/>
  <c r="AX52" i="5"/>
  <c r="AZ51" i="5"/>
  <c r="AX51" i="5"/>
  <c r="AZ50" i="5"/>
  <c r="AX50" i="5"/>
  <c r="AZ49" i="5"/>
  <c r="AX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49" i="5"/>
  <c r="AU41" i="8"/>
  <c r="AT41" i="8"/>
  <c r="AS41" i="8"/>
  <c r="AR41" i="8"/>
  <c r="AQ41" i="8"/>
  <c r="AP41" i="8"/>
  <c r="AO41" i="8"/>
  <c r="W41" i="8"/>
  <c r="S41" i="8"/>
  <c r="R41" i="8"/>
  <c r="Q41" i="8"/>
  <c r="P41" i="8"/>
  <c r="O41" i="8"/>
  <c r="N41" i="8"/>
  <c r="M41" i="8"/>
  <c r="Y41" i="8"/>
  <c r="AU40" i="8"/>
  <c r="AT40" i="8"/>
  <c r="AS40" i="8"/>
  <c r="AR40" i="8"/>
  <c r="AQ40" i="8"/>
  <c r="AP40" i="8"/>
  <c r="AO40" i="8"/>
  <c r="W40" i="8"/>
  <c r="S40" i="8"/>
  <c r="R40" i="8"/>
  <c r="Q40" i="8"/>
  <c r="P40" i="8"/>
  <c r="O40" i="8"/>
  <c r="N40" i="8"/>
  <c r="M40" i="8"/>
  <c r="Y40" i="8"/>
  <c r="AU39" i="8"/>
  <c r="AT39" i="8"/>
  <c r="AS39" i="8"/>
  <c r="AR39" i="8"/>
  <c r="AQ39" i="8"/>
  <c r="AP39" i="8"/>
  <c r="AO39" i="8"/>
  <c r="W39" i="8"/>
  <c r="S39" i="8"/>
  <c r="R39" i="8"/>
  <c r="Q39" i="8"/>
  <c r="P39" i="8"/>
  <c r="O39" i="8"/>
  <c r="N39" i="8"/>
  <c r="M39" i="8"/>
  <c r="Y39" i="8"/>
  <c r="AU38" i="8"/>
  <c r="AT38" i="8"/>
  <c r="AS38" i="8"/>
  <c r="AR38" i="8"/>
  <c r="AQ38" i="8"/>
  <c r="AP38" i="8"/>
  <c r="AO38" i="8"/>
  <c r="W38" i="8"/>
  <c r="S38" i="8"/>
  <c r="R38" i="8"/>
  <c r="Q38" i="8"/>
  <c r="P38" i="8"/>
  <c r="O38" i="8"/>
  <c r="N38" i="8"/>
  <c r="M38" i="8"/>
  <c r="Y38" i="8"/>
  <c r="AU37" i="8"/>
  <c r="AT37" i="8"/>
  <c r="AS37" i="8"/>
  <c r="AR37" i="8"/>
  <c r="AQ37" i="8"/>
  <c r="AP37" i="8"/>
  <c r="AO37" i="8"/>
  <c r="W37" i="8"/>
  <c r="S37" i="8"/>
  <c r="R37" i="8"/>
  <c r="Q37" i="8"/>
  <c r="P37" i="8"/>
  <c r="O37" i="8"/>
  <c r="N37" i="8"/>
  <c r="M37" i="8"/>
  <c r="Y37" i="8"/>
  <c r="AU36" i="8"/>
  <c r="AT36" i="8"/>
  <c r="AS36" i="8"/>
  <c r="AR36" i="8"/>
  <c r="AQ36" i="8"/>
  <c r="AP36" i="8"/>
  <c r="AO36" i="8"/>
  <c r="W36" i="8"/>
  <c r="S36" i="8"/>
  <c r="R36" i="8"/>
  <c r="Q36" i="8"/>
  <c r="P36" i="8"/>
  <c r="O36" i="8"/>
  <c r="N36" i="8"/>
  <c r="M36" i="8"/>
  <c r="Y36" i="8"/>
  <c r="AU35" i="8"/>
  <c r="AT35" i="8"/>
  <c r="AS35" i="8"/>
  <c r="AR35" i="8"/>
  <c r="AQ35" i="8"/>
  <c r="AP35" i="8"/>
  <c r="AO35" i="8"/>
  <c r="W35" i="8"/>
  <c r="S35" i="8"/>
  <c r="R35" i="8"/>
  <c r="Q35" i="8"/>
  <c r="P35" i="8"/>
  <c r="O35" i="8"/>
  <c r="N35" i="8"/>
  <c r="M35" i="8"/>
  <c r="Y35" i="8"/>
  <c r="AU34" i="8"/>
  <c r="AT34" i="8"/>
  <c r="AS34" i="8"/>
  <c r="AR34" i="8"/>
  <c r="AQ34" i="8"/>
  <c r="AP34" i="8"/>
  <c r="AO34" i="8"/>
  <c r="W34" i="8"/>
  <c r="S34" i="8"/>
  <c r="R34" i="8"/>
  <c r="Q34" i="8"/>
  <c r="P34" i="8"/>
  <c r="O34" i="8"/>
  <c r="N34" i="8"/>
  <c r="M34" i="8"/>
  <c r="Y34" i="8"/>
  <c r="AU33" i="8"/>
  <c r="AT33" i="8"/>
  <c r="AS33" i="8"/>
  <c r="AR33" i="8"/>
  <c r="AQ33" i="8"/>
  <c r="AP33" i="8"/>
  <c r="AO33" i="8"/>
  <c r="W33" i="8"/>
  <c r="S33" i="8"/>
  <c r="R33" i="8"/>
  <c r="Q33" i="8"/>
  <c r="P33" i="8"/>
  <c r="O33" i="8"/>
  <c r="N33" i="8"/>
  <c r="M33" i="8"/>
  <c r="Y33" i="8"/>
  <c r="AU32" i="8"/>
  <c r="AT32" i="8"/>
  <c r="AS32" i="8"/>
  <c r="AR32" i="8"/>
  <c r="AQ32" i="8"/>
  <c r="AP32" i="8"/>
  <c r="AO32" i="8"/>
  <c r="W32" i="8"/>
  <c r="S32" i="8"/>
  <c r="R32" i="8"/>
  <c r="Q32" i="8"/>
  <c r="P32" i="8"/>
  <c r="O32" i="8"/>
  <c r="N32" i="8"/>
  <c r="M32" i="8"/>
  <c r="Y32" i="8"/>
  <c r="AU31" i="8"/>
  <c r="AT31" i="8"/>
  <c r="AS31" i="8"/>
  <c r="AR31" i="8"/>
  <c r="AQ31" i="8"/>
  <c r="AP31" i="8"/>
  <c r="AO31" i="8"/>
  <c r="W31" i="8"/>
  <c r="S31" i="8"/>
  <c r="R31" i="8"/>
  <c r="Q31" i="8"/>
  <c r="P31" i="8"/>
  <c r="O31" i="8"/>
  <c r="N31" i="8"/>
  <c r="M31" i="8"/>
  <c r="Y31" i="8"/>
  <c r="AU30" i="8"/>
  <c r="AT30" i="8"/>
  <c r="AS30" i="8"/>
  <c r="AR30" i="8"/>
  <c r="AQ30" i="8"/>
  <c r="AP30" i="8"/>
  <c r="AO30" i="8"/>
  <c r="W30" i="8"/>
  <c r="S30" i="8"/>
  <c r="R30" i="8"/>
  <c r="Q30" i="8"/>
  <c r="P30" i="8"/>
  <c r="O30" i="8"/>
  <c r="N30" i="8"/>
  <c r="M30" i="8"/>
  <c r="Y30" i="8"/>
  <c r="AU29" i="8"/>
  <c r="AT29" i="8"/>
  <c r="AS29" i="8"/>
  <c r="AR29" i="8"/>
  <c r="AQ29" i="8"/>
  <c r="AP29" i="8"/>
  <c r="AO29" i="8"/>
  <c r="W29" i="8"/>
  <c r="S29" i="8"/>
  <c r="R29" i="8"/>
  <c r="Q29" i="8"/>
  <c r="P29" i="8"/>
  <c r="O29" i="8"/>
  <c r="N29" i="8"/>
  <c r="M29" i="8"/>
  <c r="Y29" i="8"/>
  <c r="AU28" i="8"/>
  <c r="AT28" i="8"/>
  <c r="AS28" i="8"/>
  <c r="AR28" i="8"/>
  <c r="AQ28" i="8"/>
  <c r="AP28" i="8"/>
  <c r="AO28" i="8"/>
  <c r="W28" i="8"/>
  <c r="S28" i="8"/>
  <c r="R28" i="8"/>
  <c r="Q28" i="8"/>
  <c r="P28" i="8"/>
  <c r="O28" i="8"/>
  <c r="N28" i="8"/>
  <c r="M28" i="8"/>
  <c r="Y28" i="8"/>
  <c r="AU27" i="8"/>
  <c r="AT27" i="8"/>
  <c r="AS27" i="8"/>
  <c r="AR27" i="8"/>
  <c r="AQ27" i="8"/>
  <c r="AP27" i="8"/>
  <c r="AO27" i="8"/>
  <c r="W27" i="8"/>
  <c r="S27" i="8"/>
  <c r="R27" i="8"/>
  <c r="Q27" i="8"/>
  <c r="P27" i="8"/>
  <c r="O27" i="8"/>
  <c r="N27" i="8"/>
  <c r="M27" i="8"/>
  <c r="Y27" i="8"/>
  <c r="AU26" i="8"/>
  <c r="AT26" i="8"/>
  <c r="AS26" i="8"/>
  <c r="AR26" i="8"/>
  <c r="AQ26" i="8"/>
  <c r="AP26" i="8"/>
  <c r="AO26" i="8"/>
  <c r="W26" i="8"/>
  <c r="S26" i="8"/>
  <c r="R26" i="8"/>
  <c r="Q26" i="8"/>
  <c r="P26" i="8"/>
  <c r="O26" i="8"/>
  <c r="N26" i="8"/>
  <c r="M26" i="8"/>
  <c r="Y26" i="8"/>
  <c r="AU25" i="8"/>
  <c r="AT25" i="8"/>
  <c r="AS25" i="8"/>
  <c r="AR25" i="8"/>
  <c r="AQ25" i="8"/>
  <c r="AP25" i="8"/>
  <c r="AO25" i="8"/>
  <c r="W25" i="8"/>
  <c r="S25" i="8"/>
  <c r="R25" i="8"/>
  <c r="Q25" i="8"/>
  <c r="P25" i="8"/>
  <c r="O25" i="8"/>
  <c r="N25" i="8"/>
  <c r="M25" i="8"/>
  <c r="Y25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U24" i="8"/>
  <c r="AT24" i="8"/>
  <c r="AS24" i="8"/>
  <c r="AR24" i="8"/>
  <c r="AQ24" i="8"/>
  <c r="AP24" i="8"/>
  <c r="AO24" i="8"/>
  <c r="W24" i="8"/>
  <c r="S24" i="8"/>
  <c r="R24" i="8"/>
  <c r="Q24" i="8"/>
  <c r="P24" i="8"/>
  <c r="O24" i="8"/>
  <c r="N24" i="8"/>
  <c r="M24" i="8"/>
  <c r="Y24" i="8"/>
  <c r="AU23" i="8"/>
  <c r="AT23" i="8"/>
  <c r="AS23" i="8"/>
  <c r="AR23" i="8"/>
  <c r="AQ23" i="8"/>
  <c r="AP23" i="8"/>
  <c r="AO23" i="8"/>
  <c r="W23" i="8"/>
  <c r="S23" i="8"/>
  <c r="R23" i="8"/>
  <c r="Q23" i="8"/>
  <c r="P23" i="8"/>
  <c r="O23" i="8"/>
  <c r="N23" i="8"/>
  <c r="M23" i="8"/>
  <c r="Y23" i="8"/>
  <c r="AU22" i="8"/>
  <c r="AT22" i="8"/>
  <c r="AS22" i="8"/>
  <c r="AR22" i="8"/>
  <c r="AQ22" i="8"/>
  <c r="AP22" i="8"/>
  <c r="AO22" i="8"/>
  <c r="W22" i="8"/>
  <c r="S22" i="8"/>
  <c r="R22" i="8"/>
  <c r="Q22" i="8"/>
  <c r="P22" i="8"/>
  <c r="O22" i="8"/>
  <c r="N22" i="8"/>
  <c r="M22" i="8"/>
  <c r="Y22" i="8"/>
  <c r="AU21" i="8"/>
  <c r="AT21" i="8"/>
  <c r="AS21" i="8"/>
  <c r="AR21" i="8"/>
  <c r="AQ21" i="8"/>
  <c r="AP21" i="8"/>
  <c r="AO21" i="8"/>
  <c r="W21" i="8"/>
  <c r="S21" i="8"/>
  <c r="R21" i="8"/>
  <c r="Q21" i="8"/>
  <c r="P21" i="8"/>
  <c r="O21" i="8"/>
  <c r="N21" i="8"/>
  <c r="M21" i="8"/>
  <c r="Y21" i="8"/>
  <c r="AU20" i="8"/>
  <c r="AT20" i="8"/>
  <c r="AS20" i="8"/>
  <c r="AR20" i="8"/>
  <c r="AQ20" i="8"/>
  <c r="AP20" i="8"/>
  <c r="AO20" i="8"/>
  <c r="W20" i="8"/>
  <c r="S20" i="8"/>
  <c r="R20" i="8"/>
  <c r="Q20" i="8"/>
  <c r="P20" i="8"/>
  <c r="O20" i="8"/>
  <c r="N20" i="8"/>
  <c r="M20" i="8"/>
  <c r="Y20" i="8"/>
  <c r="AU19" i="8"/>
  <c r="AT19" i="8"/>
  <c r="AS19" i="8"/>
  <c r="AR19" i="8"/>
  <c r="AQ19" i="8"/>
  <c r="AP19" i="8"/>
  <c r="AO19" i="8"/>
  <c r="W19" i="8"/>
  <c r="S19" i="8"/>
  <c r="R19" i="8"/>
  <c r="Q19" i="8"/>
  <c r="P19" i="8"/>
  <c r="O19" i="8"/>
  <c r="N19" i="8"/>
  <c r="M19" i="8"/>
  <c r="Y19" i="8"/>
  <c r="AU18" i="8"/>
  <c r="AT18" i="8"/>
  <c r="AS18" i="8"/>
  <c r="AR18" i="8"/>
  <c r="AQ18" i="8"/>
  <c r="AP18" i="8"/>
  <c r="AO18" i="8"/>
  <c r="W18" i="8"/>
  <c r="S18" i="8"/>
  <c r="R18" i="8"/>
  <c r="Q18" i="8"/>
  <c r="P18" i="8"/>
  <c r="O18" i="8"/>
  <c r="N18" i="8"/>
  <c r="M18" i="8"/>
  <c r="Y18" i="8"/>
  <c r="AU17" i="8"/>
  <c r="AT17" i="8"/>
  <c r="AS17" i="8"/>
  <c r="AR17" i="8"/>
  <c r="AQ17" i="8"/>
  <c r="AP17" i="8"/>
  <c r="AO17" i="8"/>
  <c r="W17" i="8"/>
  <c r="S17" i="8"/>
  <c r="R17" i="8"/>
  <c r="Q17" i="8"/>
  <c r="P17" i="8"/>
  <c r="O17" i="8"/>
  <c r="N17" i="8"/>
  <c r="M17" i="8"/>
  <c r="Y17" i="8"/>
  <c r="AU16" i="8"/>
  <c r="AT16" i="8"/>
  <c r="AS16" i="8"/>
  <c r="AR16" i="8"/>
  <c r="AQ16" i="8"/>
  <c r="AP16" i="8"/>
  <c r="AO16" i="8"/>
  <c r="W16" i="8"/>
  <c r="S16" i="8"/>
  <c r="R16" i="8"/>
  <c r="Q16" i="8"/>
  <c r="P16" i="8"/>
  <c r="O16" i="8"/>
  <c r="N16" i="8"/>
  <c r="M16" i="8"/>
  <c r="Y16" i="8"/>
  <c r="AU15" i="8"/>
  <c r="AT15" i="8"/>
  <c r="AS15" i="8"/>
  <c r="AR15" i="8"/>
  <c r="AQ15" i="8"/>
  <c r="AP15" i="8"/>
  <c r="AO15" i="8"/>
  <c r="W15" i="8"/>
  <c r="S15" i="8"/>
  <c r="R15" i="8"/>
  <c r="Q15" i="8"/>
  <c r="P15" i="8"/>
  <c r="O15" i="8"/>
  <c r="N15" i="8"/>
  <c r="M15" i="8"/>
  <c r="Y15" i="8"/>
  <c r="AU14" i="8"/>
  <c r="AT14" i="8"/>
  <c r="AS14" i="8"/>
  <c r="AR14" i="8"/>
  <c r="AQ14" i="8"/>
  <c r="AP14" i="8"/>
  <c r="AO14" i="8"/>
  <c r="W14" i="8"/>
  <c r="S14" i="8"/>
  <c r="R14" i="8"/>
  <c r="Q14" i="8"/>
  <c r="P14" i="8"/>
  <c r="O14" i="8"/>
  <c r="N14" i="8"/>
  <c r="M14" i="8"/>
  <c r="Y14" i="8"/>
  <c r="AU13" i="8"/>
  <c r="AT13" i="8"/>
  <c r="AS13" i="8"/>
  <c r="AR13" i="8"/>
  <c r="AQ13" i="8"/>
  <c r="AP13" i="8"/>
  <c r="AO13" i="8"/>
  <c r="W13" i="8"/>
  <c r="S13" i="8"/>
  <c r="R13" i="8"/>
  <c r="Q13" i="8"/>
  <c r="P13" i="8"/>
  <c r="O13" i="8"/>
  <c r="N13" i="8"/>
  <c r="M13" i="8"/>
  <c r="Y13" i="8"/>
  <c r="AU12" i="8"/>
  <c r="AT12" i="8"/>
  <c r="AS12" i="8"/>
  <c r="AR12" i="8"/>
  <c r="AQ12" i="8"/>
  <c r="AP12" i="8"/>
  <c r="AO12" i="8"/>
  <c r="Y12" i="8"/>
  <c r="W12" i="8"/>
  <c r="AU11" i="8"/>
  <c r="AT11" i="8"/>
  <c r="AS11" i="8"/>
  <c r="AR11" i="8"/>
  <c r="AQ11" i="8"/>
  <c r="AP11" i="8"/>
  <c r="AO11" i="8"/>
  <c r="Y11" i="8"/>
  <c r="W11" i="8"/>
  <c r="AU10" i="8"/>
  <c r="AT10" i="8"/>
  <c r="AS10" i="8"/>
  <c r="AR10" i="8"/>
  <c r="AQ10" i="8"/>
  <c r="AP10" i="8"/>
  <c r="AO10" i="8"/>
  <c r="Y10" i="8"/>
  <c r="W10" i="8"/>
  <c r="AU9" i="8"/>
  <c r="AT9" i="8"/>
  <c r="AS9" i="8"/>
  <c r="AR9" i="8"/>
  <c r="AQ9" i="8"/>
  <c r="AP9" i="8"/>
  <c r="AO9" i="8"/>
  <c r="Y9" i="8"/>
  <c r="W9" i="8"/>
  <c r="AU8" i="8"/>
  <c r="AT8" i="8"/>
  <c r="AS8" i="8"/>
  <c r="AR8" i="8"/>
  <c r="AQ8" i="8"/>
  <c r="AP8" i="8"/>
  <c r="AO8" i="8"/>
  <c r="Y8" i="8"/>
  <c r="W8" i="8"/>
  <c r="AU7" i="8"/>
  <c r="AT7" i="8"/>
  <c r="AS7" i="8"/>
  <c r="AR7" i="8"/>
  <c r="AQ7" i="8"/>
  <c r="AP7" i="8"/>
  <c r="AO7" i="8"/>
  <c r="Y7" i="8"/>
  <c r="W7" i="8"/>
  <c r="AU6" i="8"/>
  <c r="AT6" i="8"/>
  <c r="AS6" i="8"/>
  <c r="AR6" i="8"/>
  <c r="AQ6" i="8"/>
  <c r="AP6" i="8"/>
  <c r="AO6" i="8"/>
  <c r="Y6" i="8"/>
  <c r="W6" i="8"/>
  <c r="AU5" i="8"/>
  <c r="AT5" i="8"/>
  <c r="AS5" i="8"/>
  <c r="AR5" i="8"/>
  <c r="AQ5" i="8"/>
  <c r="AP5" i="8"/>
  <c r="AO5" i="8"/>
  <c r="Y5" i="8"/>
  <c r="W5" i="8"/>
  <c r="AU41" i="7"/>
  <c r="AT41" i="7"/>
  <c r="AS41" i="7"/>
  <c r="AR41" i="7"/>
  <c r="AQ41" i="7"/>
  <c r="AP41" i="7"/>
  <c r="AO41" i="7"/>
  <c r="W41" i="7"/>
  <c r="S41" i="7"/>
  <c r="R41" i="7"/>
  <c r="Q41" i="7"/>
  <c r="P41" i="7"/>
  <c r="O41" i="7"/>
  <c r="N41" i="7"/>
  <c r="M41" i="7"/>
  <c r="Y41" i="7"/>
  <c r="AU40" i="7"/>
  <c r="AT40" i="7"/>
  <c r="AS40" i="7"/>
  <c r="AR40" i="7"/>
  <c r="AQ40" i="7"/>
  <c r="AP40" i="7"/>
  <c r="AO40" i="7"/>
  <c r="W40" i="7"/>
  <c r="S40" i="7"/>
  <c r="R40" i="7"/>
  <c r="Q40" i="7"/>
  <c r="P40" i="7"/>
  <c r="O40" i="7"/>
  <c r="N40" i="7"/>
  <c r="M40" i="7"/>
  <c r="Y40" i="7"/>
  <c r="AU39" i="7"/>
  <c r="AT39" i="7"/>
  <c r="AS39" i="7"/>
  <c r="AR39" i="7"/>
  <c r="AQ39" i="7"/>
  <c r="AP39" i="7"/>
  <c r="AO39" i="7"/>
  <c r="W39" i="7"/>
  <c r="S39" i="7"/>
  <c r="R39" i="7"/>
  <c r="Q39" i="7"/>
  <c r="P39" i="7"/>
  <c r="O39" i="7"/>
  <c r="N39" i="7"/>
  <c r="M39" i="7"/>
  <c r="Y39" i="7"/>
  <c r="AU38" i="7"/>
  <c r="AT38" i="7"/>
  <c r="AS38" i="7"/>
  <c r="AR38" i="7"/>
  <c r="AQ38" i="7"/>
  <c r="AP38" i="7"/>
  <c r="AO38" i="7"/>
  <c r="W38" i="7"/>
  <c r="S38" i="7"/>
  <c r="R38" i="7"/>
  <c r="Q38" i="7"/>
  <c r="P38" i="7"/>
  <c r="O38" i="7"/>
  <c r="N38" i="7"/>
  <c r="M38" i="7"/>
  <c r="Y38" i="7"/>
  <c r="AU37" i="7"/>
  <c r="AT37" i="7"/>
  <c r="AS37" i="7"/>
  <c r="AR37" i="7"/>
  <c r="AQ37" i="7"/>
  <c r="AP37" i="7"/>
  <c r="AO37" i="7"/>
  <c r="W37" i="7"/>
  <c r="S37" i="7"/>
  <c r="R37" i="7"/>
  <c r="Q37" i="7"/>
  <c r="P37" i="7"/>
  <c r="O37" i="7"/>
  <c r="N37" i="7"/>
  <c r="M37" i="7"/>
  <c r="Y37" i="7"/>
  <c r="AU36" i="7"/>
  <c r="AT36" i="7"/>
  <c r="AS36" i="7"/>
  <c r="AR36" i="7"/>
  <c r="AQ36" i="7"/>
  <c r="AP36" i="7"/>
  <c r="AO36" i="7"/>
  <c r="W36" i="7"/>
  <c r="S36" i="7"/>
  <c r="R36" i="7"/>
  <c r="Q36" i="7"/>
  <c r="P36" i="7"/>
  <c r="O36" i="7"/>
  <c r="N36" i="7"/>
  <c r="M36" i="7"/>
  <c r="Y36" i="7"/>
  <c r="AU35" i="7"/>
  <c r="AT35" i="7"/>
  <c r="AS35" i="7"/>
  <c r="AR35" i="7"/>
  <c r="AQ35" i="7"/>
  <c r="AP35" i="7"/>
  <c r="AO35" i="7"/>
  <c r="W35" i="7"/>
  <c r="S35" i="7"/>
  <c r="R35" i="7"/>
  <c r="Q35" i="7"/>
  <c r="P35" i="7"/>
  <c r="O35" i="7"/>
  <c r="N35" i="7"/>
  <c r="M35" i="7"/>
  <c r="Y35" i="7"/>
  <c r="AU34" i="7"/>
  <c r="AT34" i="7"/>
  <c r="AS34" i="7"/>
  <c r="AR34" i="7"/>
  <c r="AQ34" i="7"/>
  <c r="AP34" i="7"/>
  <c r="AO34" i="7"/>
  <c r="W34" i="7"/>
  <c r="S34" i="7"/>
  <c r="R34" i="7"/>
  <c r="Q34" i="7"/>
  <c r="P34" i="7"/>
  <c r="O34" i="7"/>
  <c r="N34" i="7"/>
  <c r="M34" i="7"/>
  <c r="Y34" i="7"/>
  <c r="AU33" i="7"/>
  <c r="AT33" i="7"/>
  <c r="AS33" i="7"/>
  <c r="AR33" i="7"/>
  <c r="AQ33" i="7"/>
  <c r="AP33" i="7"/>
  <c r="AO33" i="7"/>
  <c r="W33" i="7"/>
  <c r="S33" i="7"/>
  <c r="R33" i="7"/>
  <c r="Q33" i="7"/>
  <c r="P33" i="7"/>
  <c r="O33" i="7"/>
  <c r="N33" i="7"/>
  <c r="M33" i="7"/>
  <c r="Y33" i="7"/>
  <c r="AU32" i="7"/>
  <c r="AT32" i="7"/>
  <c r="AS32" i="7"/>
  <c r="AR32" i="7"/>
  <c r="AQ32" i="7"/>
  <c r="AP32" i="7"/>
  <c r="AO32" i="7"/>
  <c r="W32" i="7"/>
  <c r="S32" i="7"/>
  <c r="R32" i="7"/>
  <c r="Q32" i="7"/>
  <c r="P32" i="7"/>
  <c r="O32" i="7"/>
  <c r="N32" i="7"/>
  <c r="M32" i="7"/>
  <c r="Y32" i="7"/>
  <c r="AU31" i="7"/>
  <c r="AT31" i="7"/>
  <c r="AS31" i="7"/>
  <c r="AR31" i="7"/>
  <c r="AQ31" i="7"/>
  <c r="AP31" i="7"/>
  <c r="AO31" i="7"/>
  <c r="W31" i="7"/>
  <c r="S31" i="7"/>
  <c r="R31" i="7"/>
  <c r="Q31" i="7"/>
  <c r="P31" i="7"/>
  <c r="O31" i="7"/>
  <c r="N31" i="7"/>
  <c r="M31" i="7"/>
  <c r="Y31" i="7"/>
  <c r="AU30" i="7"/>
  <c r="AT30" i="7"/>
  <c r="AS30" i="7"/>
  <c r="AR30" i="7"/>
  <c r="AQ30" i="7"/>
  <c r="AP30" i="7"/>
  <c r="AO30" i="7"/>
  <c r="W30" i="7"/>
  <c r="S30" i="7"/>
  <c r="R30" i="7"/>
  <c r="Q30" i="7"/>
  <c r="P30" i="7"/>
  <c r="O30" i="7"/>
  <c r="N30" i="7"/>
  <c r="M30" i="7"/>
  <c r="Y30" i="7"/>
  <c r="AU29" i="7"/>
  <c r="AT29" i="7"/>
  <c r="AS29" i="7"/>
  <c r="AR29" i="7"/>
  <c r="AQ29" i="7"/>
  <c r="AP29" i="7"/>
  <c r="AO29" i="7"/>
  <c r="W29" i="7"/>
  <c r="S29" i="7"/>
  <c r="R29" i="7"/>
  <c r="Q29" i="7"/>
  <c r="P29" i="7"/>
  <c r="O29" i="7"/>
  <c r="N29" i="7"/>
  <c r="M29" i="7"/>
  <c r="Y29" i="7"/>
  <c r="AU28" i="7"/>
  <c r="AT28" i="7"/>
  <c r="AS28" i="7"/>
  <c r="AR28" i="7"/>
  <c r="AQ28" i="7"/>
  <c r="AP28" i="7"/>
  <c r="AO28" i="7"/>
  <c r="W28" i="7"/>
  <c r="S28" i="7"/>
  <c r="R28" i="7"/>
  <c r="Q28" i="7"/>
  <c r="P28" i="7"/>
  <c r="O28" i="7"/>
  <c r="N28" i="7"/>
  <c r="M28" i="7"/>
  <c r="Y28" i="7"/>
  <c r="AU27" i="7"/>
  <c r="AT27" i="7"/>
  <c r="AS27" i="7"/>
  <c r="AR27" i="7"/>
  <c r="AQ27" i="7"/>
  <c r="AP27" i="7"/>
  <c r="AO27" i="7"/>
  <c r="W27" i="7"/>
  <c r="S27" i="7"/>
  <c r="R27" i="7"/>
  <c r="Q27" i="7"/>
  <c r="P27" i="7"/>
  <c r="O27" i="7"/>
  <c r="N27" i="7"/>
  <c r="M27" i="7"/>
  <c r="Y27" i="7"/>
  <c r="AU26" i="7"/>
  <c r="AT26" i="7"/>
  <c r="AS26" i="7"/>
  <c r="AR26" i="7"/>
  <c r="AQ26" i="7"/>
  <c r="AP26" i="7"/>
  <c r="AO26" i="7"/>
  <c r="W26" i="7"/>
  <c r="S26" i="7"/>
  <c r="R26" i="7"/>
  <c r="Q26" i="7"/>
  <c r="P26" i="7"/>
  <c r="O26" i="7"/>
  <c r="N26" i="7"/>
  <c r="M26" i="7"/>
  <c r="Y26" i="7"/>
  <c r="AU25" i="7"/>
  <c r="AT25" i="7"/>
  <c r="AS25" i="7"/>
  <c r="AR25" i="7"/>
  <c r="AQ25" i="7"/>
  <c r="AP25" i="7"/>
  <c r="AO25" i="7"/>
  <c r="W25" i="7"/>
  <c r="S25" i="7"/>
  <c r="R25" i="7"/>
  <c r="Q25" i="7"/>
  <c r="P25" i="7"/>
  <c r="O25" i="7"/>
  <c r="N25" i="7"/>
  <c r="M25" i="7"/>
  <c r="Y25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U24" i="7"/>
  <c r="AT24" i="7"/>
  <c r="AS24" i="7"/>
  <c r="AR24" i="7"/>
  <c r="AQ24" i="7"/>
  <c r="AP24" i="7"/>
  <c r="AO24" i="7"/>
  <c r="W24" i="7"/>
  <c r="S24" i="7"/>
  <c r="R24" i="7"/>
  <c r="Q24" i="7"/>
  <c r="P24" i="7"/>
  <c r="O24" i="7"/>
  <c r="N24" i="7"/>
  <c r="M24" i="7"/>
  <c r="Y24" i="7"/>
  <c r="AU23" i="7"/>
  <c r="AT23" i="7"/>
  <c r="AS23" i="7"/>
  <c r="AR23" i="7"/>
  <c r="AQ23" i="7"/>
  <c r="AP23" i="7"/>
  <c r="AO23" i="7"/>
  <c r="W23" i="7"/>
  <c r="S23" i="7"/>
  <c r="R23" i="7"/>
  <c r="Q23" i="7"/>
  <c r="P23" i="7"/>
  <c r="O23" i="7"/>
  <c r="N23" i="7"/>
  <c r="M23" i="7"/>
  <c r="Y23" i="7"/>
  <c r="AU22" i="7"/>
  <c r="AT22" i="7"/>
  <c r="AS22" i="7"/>
  <c r="AR22" i="7"/>
  <c r="AQ22" i="7"/>
  <c r="AP22" i="7"/>
  <c r="AO22" i="7"/>
  <c r="W22" i="7"/>
  <c r="S22" i="7"/>
  <c r="R22" i="7"/>
  <c r="Q22" i="7"/>
  <c r="P22" i="7"/>
  <c r="O22" i="7"/>
  <c r="N22" i="7"/>
  <c r="M22" i="7"/>
  <c r="Y22" i="7"/>
  <c r="AU21" i="7"/>
  <c r="AT21" i="7"/>
  <c r="AS21" i="7"/>
  <c r="AR21" i="7"/>
  <c r="AQ21" i="7"/>
  <c r="AP21" i="7"/>
  <c r="AO21" i="7"/>
  <c r="W21" i="7"/>
  <c r="S21" i="7"/>
  <c r="R21" i="7"/>
  <c r="Q21" i="7"/>
  <c r="P21" i="7"/>
  <c r="O21" i="7"/>
  <c r="N21" i="7"/>
  <c r="M21" i="7"/>
  <c r="Y21" i="7"/>
  <c r="AU20" i="7"/>
  <c r="AT20" i="7"/>
  <c r="AS20" i="7"/>
  <c r="AR20" i="7"/>
  <c r="AQ20" i="7"/>
  <c r="AP20" i="7"/>
  <c r="AO20" i="7"/>
  <c r="W20" i="7"/>
  <c r="S20" i="7"/>
  <c r="R20" i="7"/>
  <c r="Q20" i="7"/>
  <c r="P20" i="7"/>
  <c r="O20" i="7"/>
  <c r="N20" i="7"/>
  <c r="M20" i="7"/>
  <c r="Y20" i="7"/>
  <c r="AU19" i="7"/>
  <c r="AT19" i="7"/>
  <c r="AS19" i="7"/>
  <c r="AR19" i="7"/>
  <c r="AQ19" i="7"/>
  <c r="AP19" i="7"/>
  <c r="AO19" i="7"/>
  <c r="W19" i="7"/>
  <c r="S19" i="7"/>
  <c r="R19" i="7"/>
  <c r="Q19" i="7"/>
  <c r="P19" i="7"/>
  <c r="O19" i="7"/>
  <c r="N19" i="7"/>
  <c r="M19" i="7"/>
  <c r="Y19" i="7"/>
  <c r="AU18" i="7"/>
  <c r="AT18" i="7"/>
  <c r="AS18" i="7"/>
  <c r="AR18" i="7"/>
  <c r="AQ18" i="7"/>
  <c r="AP18" i="7"/>
  <c r="AO18" i="7"/>
  <c r="W18" i="7"/>
  <c r="S18" i="7"/>
  <c r="R18" i="7"/>
  <c r="Q18" i="7"/>
  <c r="P18" i="7"/>
  <c r="O18" i="7"/>
  <c r="N18" i="7"/>
  <c r="M18" i="7"/>
  <c r="Y18" i="7"/>
  <c r="AU17" i="7"/>
  <c r="AT17" i="7"/>
  <c r="AS17" i="7"/>
  <c r="AR17" i="7"/>
  <c r="AQ17" i="7"/>
  <c r="AP17" i="7"/>
  <c r="AO17" i="7"/>
  <c r="W17" i="7"/>
  <c r="S17" i="7"/>
  <c r="R17" i="7"/>
  <c r="Q17" i="7"/>
  <c r="P17" i="7"/>
  <c r="O17" i="7"/>
  <c r="N17" i="7"/>
  <c r="M17" i="7"/>
  <c r="Y17" i="7"/>
  <c r="AU16" i="7"/>
  <c r="AT16" i="7"/>
  <c r="AS16" i="7"/>
  <c r="AR16" i="7"/>
  <c r="AQ16" i="7"/>
  <c r="AP16" i="7"/>
  <c r="AO16" i="7"/>
  <c r="W16" i="7"/>
  <c r="S16" i="7"/>
  <c r="R16" i="7"/>
  <c r="Q16" i="7"/>
  <c r="P16" i="7"/>
  <c r="O16" i="7"/>
  <c r="N16" i="7"/>
  <c r="M16" i="7"/>
  <c r="Y16" i="7"/>
  <c r="AU15" i="7"/>
  <c r="AT15" i="7"/>
  <c r="AS15" i="7"/>
  <c r="AR15" i="7"/>
  <c r="AQ15" i="7"/>
  <c r="AP15" i="7"/>
  <c r="AO15" i="7"/>
  <c r="W15" i="7"/>
  <c r="S15" i="7"/>
  <c r="R15" i="7"/>
  <c r="Q15" i="7"/>
  <c r="P15" i="7"/>
  <c r="O15" i="7"/>
  <c r="N15" i="7"/>
  <c r="M15" i="7"/>
  <c r="Y15" i="7"/>
  <c r="AU14" i="7"/>
  <c r="AT14" i="7"/>
  <c r="AS14" i="7"/>
  <c r="AR14" i="7"/>
  <c r="AQ14" i="7"/>
  <c r="AP14" i="7"/>
  <c r="AO14" i="7"/>
  <c r="W14" i="7"/>
  <c r="S14" i="7"/>
  <c r="R14" i="7"/>
  <c r="Q14" i="7"/>
  <c r="P14" i="7"/>
  <c r="O14" i="7"/>
  <c r="N14" i="7"/>
  <c r="M14" i="7"/>
  <c r="Y14" i="7"/>
  <c r="AU13" i="7"/>
  <c r="AT13" i="7"/>
  <c r="AS13" i="7"/>
  <c r="AR13" i="7"/>
  <c r="AQ13" i="7"/>
  <c r="AP13" i="7"/>
  <c r="AO13" i="7"/>
  <c r="W13" i="7"/>
  <c r="S13" i="7"/>
  <c r="R13" i="7"/>
  <c r="Q13" i="7"/>
  <c r="P13" i="7"/>
  <c r="O13" i="7"/>
  <c r="N13" i="7"/>
  <c r="M13" i="7"/>
  <c r="Y13" i="7"/>
  <c r="AU12" i="7"/>
  <c r="AT12" i="7"/>
  <c r="AS12" i="7"/>
  <c r="AR12" i="7"/>
  <c r="AQ12" i="7"/>
  <c r="AP12" i="7"/>
  <c r="AO12" i="7"/>
  <c r="Y12" i="7"/>
  <c r="W12" i="7"/>
  <c r="AU11" i="7"/>
  <c r="AT11" i="7"/>
  <c r="AS11" i="7"/>
  <c r="AR11" i="7"/>
  <c r="AQ11" i="7"/>
  <c r="AP11" i="7"/>
  <c r="AO11" i="7"/>
  <c r="Y11" i="7"/>
  <c r="W11" i="7"/>
  <c r="AU10" i="7"/>
  <c r="AT10" i="7"/>
  <c r="AS10" i="7"/>
  <c r="AR10" i="7"/>
  <c r="AQ10" i="7"/>
  <c r="AP10" i="7"/>
  <c r="AO10" i="7"/>
  <c r="Y10" i="7"/>
  <c r="W10" i="7"/>
  <c r="AU9" i="7"/>
  <c r="AT9" i="7"/>
  <c r="AS9" i="7"/>
  <c r="AR9" i="7"/>
  <c r="AQ9" i="7"/>
  <c r="AP9" i="7"/>
  <c r="AO9" i="7"/>
  <c r="Y9" i="7"/>
  <c r="W9" i="7"/>
  <c r="AU8" i="7"/>
  <c r="AT8" i="7"/>
  <c r="AS8" i="7"/>
  <c r="AR8" i="7"/>
  <c r="AQ8" i="7"/>
  <c r="AP8" i="7"/>
  <c r="AO8" i="7"/>
  <c r="Y8" i="7"/>
  <c r="W8" i="7"/>
  <c r="AU7" i="7"/>
  <c r="AT7" i="7"/>
  <c r="AS7" i="7"/>
  <c r="AR7" i="7"/>
  <c r="AQ7" i="7"/>
  <c r="AP7" i="7"/>
  <c r="AO7" i="7"/>
  <c r="Y7" i="7"/>
  <c r="W7" i="7"/>
  <c r="AU6" i="7"/>
  <c r="AT6" i="7"/>
  <c r="AS6" i="7"/>
  <c r="AR6" i="7"/>
  <c r="AQ6" i="7"/>
  <c r="AP6" i="7"/>
  <c r="AO6" i="7"/>
  <c r="Y6" i="7"/>
  <c r="W6" i="7"/>
  <c r="AU5" i="7"/>
  <c r="AT5" i="7"/>
  <c r="AS5" i="7"/>
  <c r="AR5" i="7"/>
  <c r="AQ5" i="7"/>
  <c r="AP5" i="7"/>
  <c r="AO5" i="7"/>
  <c r="Y5" i="7"/>
  <c r="W5" i="7"/>
  <c r="AU41" i="6"/>
  <c r="AT41" i="6"/>
  <c r="AS41" i="6"/>
  <c r="AR41" i="6"/>
  <c r="AQ41" i="6"/>
  <c r="AP41" i="6"/>
  <c r="AO41" i="6"/>
  <c r="W41" i="6"/>
  <c r="S41" i="6"/>
  <c r="R41" i="6"/>
  <c r="Q41" i="6"/>
  <c r="P41" i="6"/>
  <c r="O41" i="6"/>
  <c r="N41" i="6"/>
  <c r="M41" i="6"/>
  <c r="Y41" i="6"/>
  <c r="AU40" i="6"/>
  <c r="AT40" i="6"/>
  <c r="AS40" i="6"/>
  <c r="AR40" i="6"/>
  <c r="AQ40" i="6"/>
  <c r="AP40" i="6"/>
  <c r="AO40" i="6"/>
  <c r="W40" i="6"/>
  <c r="S40" i="6"/>
  <c r="R40" i="6"/>
  <c r="Q40" i="6"/>
  <c r="P40" i="6"/>
  <c r="O40" i="6"/>
  <c r="N40" i="6"/>
  <c r="M40" i="6"/>
  <c r="Y40" i="6"/>
  <c r="AU39" i="6"/>
  <c r="AT39" i="6"/>
  <c r="AS39" i="6"/>
  <c r="AR39" i="6"/>
  <c r="AQ39" i="6"/>
  <c r="AP39" i="6"/>
  <c r="AO39" i="6"/>
  <c r="W39" i="6"/>
  <c r="S39" i="6"/>
  <c r="R39" i="6"/>
  <c r="Q39" i="6"/>
  <c r="P39" i="6"/>
  <c r="O39" i="6"/>
  <c r="N39" i="6"/>
  <c r="M39" i="6"/>
  <c r="Y39" i="6"/>
  <c r="AU38" i="6"/>
  <c r="AT38" i="6"/>
  <c r="AS38" i="6"/>
  <c r="AR38" i="6"/>
  <c r="AQ38" i="6"/>
  <c r="AP38" i="6"/>
  <c r="AO38" i="6"/>
  <c r="W38" i="6"/>
  <c r="S38" i="6"/>
  <c r="R38" i="6"/>
  <c r="Q38" i="6"/>
  <c r="P38" i="6"/>
  <c r="O38" i="6"/>
  <c r="N38" i="6"/>
  <c r="M38" i="6"/>
  <c r="Y38" i="6"/>
  <c r="AU37" i="6"/>
  <c r="AT37" i="6"/>
  <c r="AS37" i="6"/>
  <c r="AR37" i="6"/>
  <c r="AQ37" i="6"/>
  <c r="AP37" i="6"/>
  <c r="AO37" i="6"/>
  <c r="W37" i="6"/>
  <c r="S37" i="6"/>
  <c r="R37" i="6"/>
  <c r="Q37" i="6"/>
  <c r="P37" i="6"/>
  <c r="O37" i="6"/>
  <c r="N37" i="6"/>
  <c r="M37" i="6"/>
  <c r="Y37" i="6"/>
  <c r="AU36" i="6"/>
  <c r="AT36" i="6"/>
  <c r="AS36" i="6"/>
  <c r="AR36" i="6"/>
  <c r="AQ36" i="6"/>
  <c r="AP36" i="6"/>
  <c r="AO36" i="6"/>
  <c r="W36" i="6"/>
  <c r="S36" i="6"/>
  <c r="R36" i="6"/>
  <c r="Q36" i="6"/>
  <c r="P36" i="6"/>
  <c r="O36" i="6"/>
  <c r="N36" i="6"/>
  <c r="M36" i="6"/>
  <c r="Y36" i="6"/>
  <c r="AU35" i="6"/>
  <c r="AT35" i="6"/>
  <c r="AS35" i="6"/>
  <c r="AR35" i="6"/>
  <c r="AQ35" i="6"/>
  <c r="AP35" i="6"/>
  <c r="AO35" i="6"/>
  <c r="W35" i="6"/>
  <c r="S35" i="6"/>
  <c r="R35" i="6"/>
  <c r="Q35" i="6"/>
  <c r="P35" i="6"/>
  <c r="O35" i="6"/>
  <c r="N35" i="6"/>
  <c r="M35" i="6"/>
  <c r="Y35" i="6"/>
  <c r="AU34" i="6"/>
  <c r="AT34" i="6"/>
  <c r="AS34" i="6"/>
  <c r="AR34" i="6"/>
  <c r="AQ34" i="6"/>
  <c r="AP34" i="6"/>
  <c r="AO34" i="6"/>
  <c r="W34" i="6"/>
  <c r="S34" i="6"/>
  <c r="R34" i="6"/>
  <c r="Q34" i="6"/>
  <c r="P34" i="6"/>
  <c r="O34" i="6"/>
  <c r="N34" i="6"/>
  <c r="M34" i="6"/>
  <c r="Y34" i="6"/>
  <c r="AU33" i="6"/>
  <c r="AT33" i="6"/>
  <c r="AS33" i="6"/>
  <c r="AR33" i="6"/>
  <c r="AQ33" i="6"/>
  <c r="AP33" i="6"/>
  <c r="AO33" i="6"/>
  <c r="W33" i="6"/>
  <c r="S33" i="6"/>
  <c r="R33" i="6"/>
  <c r="Q33" i="6"/>
  <c r="P33" i="6"/>
  <c r="O33" i="6"/>
  <c r="N33" i="6"/>
  <c r="M33" i="6"/>
  <c r="Y33" i="6"/>
  <c r="AU32" i="6"/>
  <c r="AT32" i="6"/>
  <c r="AS32" i="6"/>
  <c r="AR32" i="6"/>
  <c r="AQ32" i="6"/>
  <c r="AP32" i="6"/>
  <c r="AO32" i="6"/>
  <c r="W32" i="6"/>
  <c r="S32" i="6"/>
  <c r="R32" i="6"/>
  <c r="Q32" i="6"/>
  <c r="P32" i="6"/>
  <c r="O32" i="6"/>
  <c r="N32" i="6"/>
  <c r="M32" i="6"/>
  <c r="Y32" i="6"/>
  <c r="AU31" i="6"/>
  <c r="AT31" i="6"/>
  <c r="AS31" i="6"/>
  <c r="AR31" i="6"/>
  <c r="AQ31" i="6"/>
  <c r="AP31" i="6"/>
  <c r="AO31" i="6"/>
  <c r="W31" i="6"/>
  <c r="S31" i="6"/>
  <c r="R31" i="6"/>
  <c r="Q31" i="6"/>
  <c r="P31" i="6"/>
  <c r="O31" i="6"/>
  <c r="N31" i="6"/>
  <c r="M31" i="6"/>
  <c r="Y31" i="6"/>
  <c r="AU30" i="6"/>
  <c r="AT30" i="6"/>
  <c r="AS30" i="6"/>
  <c r="AR30" i="6"/>
  <c r="AQ30" i="6"/>
  <c r="AP30" i="6"/>
  <c r="AO30" i="6"/>
  <c r="W30" i="6"/>
  <c r="S30" i="6"/>
  <c r="R30" i="6"/>
  <c r="Q30" i="6"/>
  <c r="P30" i="6"/>
  <c r="O30" i="6"/>
  <c r="N30" i="6"/>
  <c r="M30" i="6"/>
  <c r="Y30" i="6"/>
  <c r="AU29" i="6"/>
  <c r="AT29" i="6"/>
  <c r="AS29" i="6"/>
  <c r="AR29" i="6"/>
  <c r="AQ29" i="6"/>
  <c r="AP29" i="6"/>
  <c r="AO29" i="6"/>
  <c r="W29" i="6"/>
  <c r="S29" i="6"/>
  <c r="R29" i="6"/>
  <c r="Q29" i="6"/>
  <c r="P29" i="6"/>
  <c r="O29" i="6"/>
  <c r="N29" i="6"/>
  <c r="M29" i="6"/>
  <c r="Y29" i="6"/>
  <c r="AU28" i="6"/>
  <c r="AT28" i="6"/>
  <c r="AS28" i="6"/>
  <c r="AR28" i="6"/>
  <c r="AQ28" i="6"/>
  <c r="AP28" i="6"/>
  <c r="AO28" i="6"/>
  <c r="W28" i="6"/>
  <c r="S28" i="6"/>
  <c r="R28" i="6"/>
  <c r="Q28" i="6"/>
  <c r="P28" i="6"/>
  <c r="O28" i="6"/>
  <c r="N28" i="6"/>
  <c r="M28" i="6"/>
  <c r="Y28" i="6"/>
  <c r="AU27" i="6"/>
  <c r="AT27" i="6"/>
  <c r="AS27" i="6"/>
  <c r="AR27" i="6"/>
  <c r="AQ27" i="6"/>
  <c r="AP27" i="6"/>
  <c r="AO27" i="6"/>
  <c r="W27" i="6"/>
  <c r="S27" i="6"/>
  <c r="R27" i="6"/>
  <c r="Q27" i="6"/>
  <c r="P27" i="6"/>
  <c r="O27" i="6"/>
  <c r="N27" i="6"/>
  <c r="M27" i="6"/>
  <c r="Y27" i="6"/>
  <c r="AU26" i="6"/>
  <c r="AT26" i="6"/>
  <c r="AS26" i="6"/>
  <c r="AR26" i="6"/>
  <c r="AQ26" i="6"/>
  <c r="AP26" i="6"/>
  <c r="AO26" i="6"/>
  <c r="W26" i="6"/>
  <c r="S26" i="6"/>
  <c r="R26" i="6"/>
  <c r="Q26" i="6"/>
  <c r="P26" i="6"/>
  <c r="O26" i="6"/>
  <c r="N26" i="6"/>
  <c r="M26" i="6"/>
  <c r="Y26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U25" i="6"/>
  <c r="AT25" i="6"/>
  <c r="AS25" i="6"/>
  <c r="AR25" i="6"/>
  <c r="AQ25" i="6"/>
  <c r="AP25" i="6"/>
  <c r="AO25" i="6"/>
  <c r="W25" i="6"/>
  <c r="S25" i="6"/>
  <c r="R25" i="6"/>
  <c r="Q25" i="6"/>
  <c r="P25" i="6"/>
  <c r="O25" i="6"/>
  <c r="N25" i="6"/>
  <c r="M25" i="6"/>
  <c r="Y25" i="6"/>
  <c r="A25" i="6"/>
  <c r="AU24" i="6"/>
  <c r="AT24" i="6"/>
  <c r="AS24" i="6"/>
  <c r="AR24" i="6"/>
  <c r="AQ24" i="6"/>
  <c r="AP24" i="6"/>
  <c r="AO24" i="6"/>
  <c r="W24" i="6"/>
  <c r="S24" i="6"/>
  <c r="R24" i="6"/>
  <c r="Q24" i="6"/>
  <c r="P24" i="6"/>
  <c r="O24" i="6"/>
  <c r="N24" i="6"/>
  <c r="M24" i="6"/>
  <c r="Y24" i="6"/>
  <c r="AU23" i="6"/>
  <c r="AT23" i="6"/>
  <c r="AS23" i="6"/>
  <c r="AR23" i="6"/>
  <c r="AQ23" i="6"/>
  <c r="AP23" i="6"/>
  <c r="AO23" i="6"/>
  <c r="W23" i="6"/>
  <c r="S23" i="6"/>
  <c r="R23" i="6"/>
  <c r="Q23" i="6"/>
  <c r="P23" i="6"/>
  <c r="O23" i="6"/>
  <c r="N23" i="6"/>
  <c r="M23" i="6"/>
  <c r="Y23" i="6"/>
  <c r="AU22" i="6"/>
  <c r="AT22" i="6"/>
  <c r="AS22" i="6"/>
  <c r="AR22" i="6"/>
  <c r="AQ22" i="6"/>
  <c r="AP22" i="6"/>
  <c r="AO22" i="6"/>
  <c r="W22" i="6"/>
  <c r="S22" i="6"/>
  <c r="R22" i="6"/>
  <c r="Q22" i="6"/>
  <c r="P22" i="6"/>
  <c r="O22" i="6"/>
  <c r="N22" i="6"/>
  <c r="M22" i="6"/>
  <c r="Y22" i="6"/>
  <c r="AU21" i="6"/>
  <c r="AT21" i="6"/>
  <c r="AS21" i="6"/>
  <c r="AR21" i="6"/>
  <c r="AQ21" i="6"/>
  <c r="AP21" i="6"/>
  <c r="AO21" i="6"/>
  <c r="W21" i="6"/>
  <c r="S21" i="6"/>
  <c r="R21" i="6"/>
  <c r="Q21" i="6"/>
  <c r="P21" i="6"/>
  <c r="O21" i="6"/>
  <c r="N21" i="6"/>
  <c r="M21" i="6"/>
  <c r="Y21" i="6"/>
  <c r="AU20" i="6"/>
  <c r="AT20" i="6"/>
  <c r="AS20" i="6"/>
  <c r="AR20" i="6"/>
  <c r="AQ20" i="6"/>
  <c r="AP20" i="6"/>
  <c r="AO20" i="6"/>
  <c r="W20" i="6"/>
  <c r="S20" i="6"/>
  <c r="R20" i="6"/>
  <c r="Q20" i="6"/>
  <c r="P20" i="6"/>
  <c r="O20" i="6"/>
  <c r="N20" i="6"/>
  <c r="M20" i="6"/>
  <c r="Y20" i="6"/>
  <c r="AU19" i="6"/>
  <c r="AT19" i="6"/>
  <c r="AS19" i="6"/>
  <c r="AR19" i="6"/>
  <c r="AQ19" i="6"/>
  <c r="AP19" i="6"/>
  <c r="AO19" i="6"/>
  <c r="W19" i="6"/>
  <c r="S19" i="6"/>
  <c r="R19" i="6"/>
  <c r="Q19" i="6"/>
  <c r="P19" i="6"/>
  <c r="O19" i="6"/>
  <c r="N19" i="6"/>
  <c r="M19" i="6"/>
  <c r="Y19" i="6"/>
  <c r="AU18" i="6"/>
  <c r="AT18" i="6"/>
  <c r="AS18" i="6"/>
  <c r="AR18" i="6"/>
  <c r="AQ18" i="6"/>
  <c r="AP18" i="6"/>
  <c r="AO18" i="6"/>
  <c r="W18" i="6"/>
  <c r="S18" i="6"/>
  <c r="R18" i="6"/>
  <c r="Q18" i="6"/>
  <c r="P18" i="6"/>
  <c r="O18" i="6"/>
  <c r="N18" i="6"/>
  <c r="M18" i="6"/>
  <c r="Y18" i="6"/>
  <c r="AU17" i="6"/>
  <c r="AT17" i="6"/>
  <c r="AS17" i="6"/>
  <c r="AR17" i="6"/>
  <c r="AQ17" i="6"/>
  <c r="AP17" i="6"/>
  <c r="AO17" i="6"/>
  <c r="W17" i="6"/>
  <c r="S17" i="6"/>
  <c r="R17" i="6"/>
  <c r="Q17" i="6"/>
  <c r="P17" i="6"/>
  <c r="O17" i="6"/>
  <c r="N17" i="6"/>
  <c r="M17" i="6"/>
  <c r="Y17" i="6"/>
  <c r="AU16" i="6"/>
  <c r="AT16" i="6"/>
  <c r="AS16" i="6"/>
  <c r="AR16" i="6"/>
  <c r="AQ16" i="6"/>
  <c r="AP16" i="6"/>
  <c r="AO16" i="6"/>
  <c r="W16" i="6"/>
  <c r="S16" i="6"/>
  <c r="R16" i="6"/>
  <c r="Q16" i="6"/>
  <c r="P16" i="6"/>
  <c r="O16" i="6"/>
  <c r="N16" i="6"/>
  <c r="M16" i="6"/>
  <c r="Y16" i="6"/>
  <c r="AU15" i="6"/>
  <c r="AT15" i="6"/>
  <c r="AS15" i="6"/>
  <c r="AR15" i="6"/>
  <c r="AQ15" i="6"/>
  <c r="AP15" i="6"/>
  <c r="AO15" i="6"/>
  <c r="W15" i="6"/>
  <c r="S15" i="6"/>
  <c r="R15" i="6"/>
  <c r="Q15" i="6"/>
  <c r="P15" i="6"/>
  <c r="O15" i="6"/>
  <c r="N15" i="6"/>
  <c r="M15" i="6"/>
  <c r="Y15" i="6"/>
  <c r="AU14" i="6"/>
  <c r="AT14" i="6"/>
  <c r="AS14" i="6"/>
  <c r="AR14" i="6"/>
  <c r="AQ14" i="6"/>
  <c r="AP14" i="6"/>
  <c r="AO14" i="6"/>
  <c r="W14" i="6"/>
  <c r="S14" i="6"/>
  <c r="R14" i="6"/>
  <c r="Q14" i="6"/>
  <c r="P14" i="6"/>
  <c r="O14" i="6"/>
  <c r="N14" i="6"/>
  <c r="M14" i="6"/>
  <c r="Y14" i="6"/>
  <c r="AU13" i="6"/>
  <c r="AT13" i="6"/>
  <c r="AS13" i="6"/>
  <c r="AR13" i="6"/>
  <c r="AQ13" i="6"/>
  <c r="AP13" i="6"/>
  <c r="AO13" i="6"/>
  <c r="W13" i="6"/>
  <c r="S13" i="6"/>
  <c r="R13" i="6"/>
  <c r="Q13" i="6"/>
  <c r="P13" i="6"/>
  <c r="O13" i="6"/>
  <c r="N13" i="6"/>
  <c r="M13" i="6"/>
  <c r="Y13" i="6"/>
  <c r="AU12" i="6"/>
  <c r="AT12" i="6"/>
  <c r="AS12" i="6"/>
  <c r="AR12" i="6"/>
  <c r="AQ12" i="6"/>
  <c r="AP12" i="6"/>
  <c r="AO12" i="6"/>
  <c r="Y12" i="6"/>
  <c r="W12" i="6"/>
  <c r="AU11" i="6"/>
  <c r="AT11" i="6"/>
  <c r="AS11" i="6"/>
  <c r="AR11" i="6"/>
  <c r="AQ11" i="6"/>
  <c r="AP11" i="6"/>
  <c r="AO11" i="6"/>
  <c r="Y11" i="6"/>
  <c r="W11" i="6"/>
  <c r="AU10" i="6"/>
  <c r="AT10" i="6"/>
  <c r="AS10" i="6"/>
  <c r="AR10" i="6"/>
  <c r="AQ10" i="6"/>
  <c r="AP10" i="6"/>
  <c r="AO10" i="6"/>
  <c r="Y10" i="6"/>
  <c r="W10" i="6"/>
  <c r="AU9" i="6"/>
  <c r="AT9" i="6"/>
  <c r="AS9" i="6"/>
  <c r="AR9" i="6"/>
  <c r="AQ9" i="6"/>
  <c r="AP9" i="6"/>
  <c r="AO9" i="6"/>
  <c r="Y9" i="6"/>
  <c r="W9" i="6"/>
  <c r="AU8" i="6"/>
  <c r="AT8" i="6"/>
  <c r="AS8" i="6"/>
  <c r="AR8" i="6"/>
  <c r="AQ8" i="6"/>
  <c r="AP8" i="6"/>
  <c r="AO8" i="6"/>
  <c r="Y8" i="6"/>
  <c r="W8" i="6"/>
  <c r="AU7" i="6"/>
  <c r="AT7" i="6"/>
  <c r="AS7" i="6"/>
  <c r="AR7" i="6"/>
  <c r="AQ7" i="6"/>
  <c r="AP7" i="6"/>
  <c r="AO7" i="6"/>
  <c r="Y7" i="6"/>
  <c r="W7" i="6"/>
  <c r="AU6" i="6"/>
  <c r="AT6" i="6"/>
  <c r="AS6" i="6"/>
  <c r="AR6" i="6"/>
  <c r="AQ6" i="6"/>
  <c r="AP6" i="6"/>
  <c r="AO6" i="6"/>
  <c r="Y6" i="6"/>
  <c r="W6" i="6"/>
  <c r="AU5" i="6"/>
  <c r="AT5" i="6"/>
  <c r="AS5" i="6"/>
  <c r="AR5" i="6"/>
  <c r="AQ5" i="6"/>
  <c r="AP5" i="6"/>
  <c r="AO5" i="6"/>
  <c r="Y5" i="6"/>
  <c r="W5" i="6"/>
  <c r="AU62" i="5"/>
  <c r="AT62" i="5"/>
  <c r="AS62" i="5"/>
  <c r="AR62" i="5"/>
  <c r="AQ62" i="5"/>
  <c r="AP62" i="5"/>
  <c r="AO62" i="5"/>
  <c r="W62" i="5"/>
  <c r="S62" i="5"/>
  <c r="R62" i="5"/>
  <c r="Q62" i="5"/>
  <c r="P62" i="5"/>
  <c r="O62" i="5"/>
  <c r="N62" i="5"/>
  <c r="M62" i="5"/>
  <c r="Y62" i="5"/>
  <c r="AU61" i="5"/>
  <c r="AT61" i="5"/>
  <c r="AS61" i="5"/>
  <c r="AR61" i="5"/>
  <c r="AQ61" i="5"/>
  <c r="AP61" i="5"/>
  <c r="AO61" i="5"/>
  <c r="W61" i="5"/>
  <c r="S61" i="5"/>
  <c r="R61" i="5"/>
  <c r="Q61" i="5"/>
  <c r="P61" i="5"/>
  <c r="O61" i="5"/>
  <c r="N61" i="5"/>
  <c r="M61" i="5"/>
  <c r="Y61" i="5"/>
  <c r="AU60" i="5"/>
  <c r="AT60" i="5"/>
  <c r="AS60" i="5"/>
  <c r="AR60" i="5"/>
  <c r="AQ60" i="5"/>
  <c r="AP60" i="5"/>
  <c r="AO60" i="5"/>
  <c r="W60" i="5"/>
  <c r="S60" i="5"/>
  <c r="R60" i="5"/>
  <c r="Q60" i="5"/>
  <c r="P60" i="5"/>
  <c r="O60" i="5"/>
  <c r="N60" i="5"/>
  <c r="M60" i="5"/>
  <c r="Y60" i="5"/>
  <c r="AU59" i="5"/>
  <c r="AT59" i="5"/>
  <c r="AS59" i="5"/>
  <c r="AR59" i="5"/>
  <c r="AQ59" i="5"/>
  <c r="AP59" i="5"/>
  <c r="AO59" i="5"/>
  <c r="W59" i="5"/>
  <c r="S59" i="5"/>
  <c r="R59" i="5"/>
  <c r="Q59" i="5"/>
  <c r="P59" i="5"/>
  <c r="O59" i="5"/>
  <c r="N59" i="5"/>
  <c r="M59" i="5"/>
  <c r="Y59" i="5"/>
  <c r="AU58" i="5"/>
  <c r="AT58" i="5"/>
  <c r="AS58" i="5"/>
  <c r="AR58" i="5"/>
  <c r="AQ58" i="5"/>
  <c r="AP58" i="5"/>
  <c r="AO58" i="5"/>
  <c r="W58" i="5"/>
  <c r="S58" i="5"/>
  <c r="R58" i="5"/>
  <c r="Q58" i="5"/>
  <c r="P58" i="5"/>
  <c r="O58" i="5"/>
  <c r="N58" i="5"/>
  <c r="M58" i="5"/>
  <c r="Y58" i="5"/>
  <c r="AU57" i="5"/>
  <c r="AT57" i="5"/>
  <c r="AS57" i="5"/>
  <c r="AR57" i="5"/>
  <c r="AQ57" i="5"/>
  <c r="AP57" i="5"/>
  <c r="AO57" i="5"/>
  <c r="W57" i="5"/>
  <c r="S57" i="5"/>
  <c r="R57" i="5"/>
  <c r="Q57" i="5"/>
  <c r="P57" i="5"/>
  <c r="O57" i="5"/>
  <c r="N57" i="5"/>
  <c r="M57" i="5"/>
  <c r="Y57" i="5"/>
  <c r="AU56" i="5"/>
  <c r="AT56" i="5"/>
  <c r="AS56" i="5"/>
  <c r="AR56" i="5"/>
  <c r="AQ56" i="5"/>
  <c r="AP56" i="5"/>
  <c r="AO56" i="5"/>
  <c r="W56" i="5"/>
  <c r="S56" i="5"/>
  <c r="R56" i="5"/>
  <c r="Q56" i="5"/>
  <c r="P56" i="5"/>
  <c r="O56" i="5"/>
  <c r="N56" i="5"/>
  <c r="M56" i="5"/>
  <c r="Y56" i="5"/>
  <c r="AU55" i="5"/>
  <c r="AT55" i="5"/>
  <c r="AS55" i="5"/>
  <c r="AR55" i="5"/>
  <c r="AQ55" i="5"/>
  <c r="AP55" i="5"/>
  <c r="AO55" i="5"/>
  <c r="W55" i="5"/>
  <c r="S55" i="5"/>
  <c r="R55" i="5"/>
  <c r="Q55" i="5"/>
  <c r="P55" i="5"/>
  <c r="O55" i="5"/>
  <c r="N55" i="5"/>
  <c r="M55" i="5"/>
  <c r="Y55" i="5"/>
  <c r="AU54" i="5"/>
  <c r="AT54" i="5"/>
  <c r="AS54" i="5"/>
  <c r="AR54" i="5"/>
  <c r="AQ54" i="5"/>
  <c r="AP54" i="5"/>
  <c r="AO54" i="5"/>
  <c r="W54" i="5"/>
  <c r="S54" i="5"/>
  <c r="R54" i="5"/>
  <c r="Q54" i="5"/>
  <c r="P54" i="5"/>
  <c r="O54" i="5"/>
  <c r="N54" i="5"/>
  <c r="M54" i="5"/>
  <c r="Y54" i="5"/>
  <c r="AU53" i="5"/>
  <c r="AT53" i="5"/>
  <c r="AS53" i="5"/>
  <c r="AR53" i="5"/>
  <c r="AQ53" i="5"/>
  <c r="AP53" i="5"/>
  <c r="AO53" i="5"/>
  <c r="W53" i="5"/>
  <c r="S53" i="5"/>
  <c r="R53" i="5"/>
  <c r="Q53" i="5"/>
  <c r="P53" i="5"/>
  <c r="O53" i="5"/>
  <c r="N53" i="5"/>
  <c r="M53" i="5"/>
  <c r="Y53" i="5"/>
  <c r="AU52" i="5"/>
  <c r="AT52" i="5"/>
  <c r="AS52" i="5"/>
  <c r="AR52" i="5"/>
  <c r="AQ52" i="5"/>
  <c r="AP52" i="5"/>
  <c r="AO52" i="5"/>
  <c r="W52" i="5"/>
  <c r="S52" i="5"/>
  <c r="R52" i="5"/>
  <c r="Q52" i="5"/>
  <c r="P52" i="5"/>
  <c r="O52" i="5"/>
  <c r="N52" i="5"/>
  <c r="M52" i="5"/>
  <c r="Y52" i="5"/>
  <c r="AU51" i="5"/>
  <c r="AT51" i="5"/>
  <c r="AS51" i="5"/>
  <c r="AR51" i="5"/>
  <c r="AQ51" i="5"/>
  <c r="AP51" i="5"/>
  <c r="AO51" i="5"/>
  <c r="W51" i="5"/>
  <c r="S51" i="5"/>
  <c r="R51" i="5"/>
  <c r="Q51" i="5"/>
  <c r="P51" i="5"/>
  <c r="O51" i="5"/>
  <c r="N51" i="5"/>
  <c r="M51" i="5"/>
  <c r="Y51" i="5"/>
  <c r="AU50" i="5"/>
  <c r="AT50" i="5"/>
  <c r="AS50" i="5"/>
  <c r="AR50" i="5"/>
  <c r="AQ50" i="5"/>
  <c r="AP50" i="5"/>
  <c r="AO50" i="5"/>
  <c r="W50" i="5"/>
  <c r="S50" i="5"/>
  <c r="R50" i="5"/>
  <c r="Q50" i="5"/>
  <c r="P50" i="5"/>
  <c r="O50" i="5"/>
  <c r="N50" i="5"/>
  <c r="M50" i="5"/>
  <c r="Y50" i="5"/>
  <c r="AU49" i="5"/>
  <c r="AT49" i="5"/>
  <c r="AS49" i="5"/>
  <c r="AR49" i="5"/>
  <c r="AQ49" i="5"/>
  <c r="AP49" i="5"/>
  <c r="AO49" i="5"/>
  <c r="W49" i="5"/>
  <c r="S49" i="5"/>
  <c r="R49" i="5"/>
  <c r="Q49" i="5"/>
  <c r="P49" i="5"/>
  <c r="O49" i="5"/>
  <c r="N49" i="5"/>
  <c r="M49" i="5"/>
  <c r="Y49" i="5"/>
  <c r="AU41" i="5"/>
  <c r="AT41" i="5"/>
  <c r="AS41" i="5"/>
  <c r="AR41" i="5"/>
  <c r="AQ41" i="5"/>
  <c r="AP41" i="5"/>
  <c r="AO41" i="5"/>
  <c r="W41" i="5"/>
  <c r="S41" i="5"/>
  <c r="R41" i="5"/>
  <c r="Q41" i="5"/>
  <c r="P41" i="5"/>
  <c r="O41" i="5"/>
  <c r="N41" i="5"/>
  <c r="M41" i="5"/>
  <c r="Y41" i="5"/>
  <c r="AU40" i="5"/>
  <c r="AT40" i="5"/>
  <c r="AS40" i="5"/>
  <c r="AR40" i="5"/>
  <c r="AQ40" i="5"/>
  <c r="AP40" i="5"/>
  <c r="AO40" i="5"/>
  <c r="W40" i="5"/>
  <c r="S40" i="5"/>
  <c r="R40" i="5"/>
  <c r="Q40" i="5"/>
  <c r="P40" i="5"/>
  <c r="O40" i="5"/>
  <c r="N40" i="5"/>
  <c r="M40" i="5"/>
  <c r="Y40" i="5"/>
  <c r="AU39" i="5"/>
  <c r="AT39" i="5"/>
  <c r="AS39" i="5"/>
  <c r="AR39" i="5"/>
  <c r="AQ39" i="5"/>
  <c r="AP39" i="5"/>
  <c r="AO39" i="5"/>
  <c r="W39" i="5"/>
  <c r="S39" i="5"/>
  <c r="R39" i="5"/>
  <c r="Q39" i="5"/>
  <c r="P39" i="5"/>
  <c r="O39" i="5"/>
  <c r="N39" i="5"/>
  <c r="M39" i="5"/>
  <c r="Y39" i="5"/>
  <c r="AU38" i="5"/>
  <c r="AT38" i="5"/>
  <c r="AS38" i="5"/>
  <c r="AR38" i="5"/>
  <c r="AQ38" i="5"/>
  <c r="AP38" i="5"/>
  <c r="AO38" i="5"/>
  <c r="W38" i="5"/>
  <c r="S38" i="5"/>
  <c r="R38" i="5"/>
  <c r="Q38" i="5"/>
  <c r="P38" i="5"/>
  <c r="O38" i="5"/>
  <c r="N38" i="5"/>
  <c r="M38" i="5"/>
  <c r="Y38" i="5"/>
  <c r="AU37" i="5"/>
  <c r="AT37" i="5"/>
  <c r="AS37" i="5"/>
  <c r="AR37" i="5"/>
  <c r="AQ37" i="5"/>
  <c r="AP37" i="5"/>
  <c r="AO37" i="5"/>
  <c r="W37" i="5"/>
  <c r="S37" i="5"/>
  <c r="R37" i="5"/>
  <c r="Q37" i="5"/>
  <c r="P37" i="5"/>
  <c r="O37" i="5"/>
  <c r="N37" i="5"/>
  <c r="M37" i="5"/>
  <c r="Y37" i="5"/>
  <c r="AU36" i="5"/>
  <c r="AT36" i="5"/>
  <c r="AS36" i="5"/>
  <c r="AR36" i="5"/>
  <c r="AQ36" i="5"/>
  <c r="AP36" i="5"/>
  <c r="AO36" i="5"/>
  <c r="W36" i="5"/>
  <c r="S36" i="5"/>
  <c r="R36" i="5"/>
  <c r="Q36" i="5"/>
  <c r="P36" i="5"/>
  <c r="O36" i="5"/>
  <c r="N36" i="5"/>
  <c r="M36" i="5"/>
  <c r="Y36" i="5"/>
  <c r="AU35" i="5"/>
  <c r="AT35" i="5"/>
  <c r="AS35" i="5"/>
  <c r="AR35" i="5"/>
  <c r="AQ35" i="5"/>
  <c r="AP35" i="5"/>
  <c r="AO35" i="5"/>
  <c r="W35" i="5"/>
  <c r="S35" i="5"/>
  <c r="R35" i="5"/>
  <c r="Q35" i="5"/>
  <c r="P35" i="5"/>
  <c r="O35" i="5"/>
  <c r="N35" i="5"/>
  <c r="M35" i="5"/>
  <c r="Y35" i="5"/>
  <c r="AU34" i="5"/>
  <c r="AT34" i="5"/>
  <c r="AS34" i="5"/>
  <c r="AR34" i="5"/>
  <c r="AQ34" i="5"/>
  <c r="AP34" i="5"/>
  <c r="AO34" i="5"/>
  <c r="W34" i="5"/>
  <c r="S34" i="5"/>
  <c r="R34" i="5"/>
  <c r="Q34" i="5"/>
  <c r="P34" i="5"/>
  <c r="O34" i="5"/>
  <c r="N34" i="5"/>
  <c r="M34" i="5"/>
  <c r="Y34" i="5"/>
  <c r="AU33" i="5"/>
  <c r="AT33" i="5"/>
  <c r="AS33" i="5"/>
  <c r="AR33" i="5"/>
  <c r="AQ33" i="5"/>
  <c r="AP33" i="5"/>
  <c r="AO33" i="5"/>
  <c r="W33" i="5"/>
  <c r="S33" i="5"/>
  <c r="R33" i="5"/>
  <c r="Q33" i="5"/>
  <c r="P33" i="5"/>
  <c r="O33" i="5"/>
  <c r="N33" i="5"/>
  <c r="M33" i="5"/>
  <c r="Y33" i="5"/>
  <c r="AU32" i="5"/>
  <c r="AT32" i="5"/>
  <c r="AS32" i="5"/>
  <c r="AR32" i="5"/>
  <c r="AQ32" i="5"/>
  <c r="AP32" i="5"/>
  <c r="AO32" i="5"/>
  <c r="W32" i="5"/>
  <c r="S32" i="5"/>
  <c r="R32" i="5"/>
  <c r="Q32" i="5"/>
  <c r="P32" i="5"/>
  <c r="O32" i="5"/>
  <c r="N32" i="5"/>
  <c r="M32" i="5"/>
  <c r="Y32" i="5"/>
  <c r="AU31" i="5"/>
  <c r="AT31" i="5"/>
  <c r="AS31" i="5"/>
  <c r="AR31" i="5"/>
  <c r="AQ31" i="5"/>
  <c r="AP31" i="5"/>
  <c r="AO31" i="5"/>
  <c r="W31" i="5"/>
  <c r="S31" i="5"/>
  <c r="R31" i="5"/>
  <c r="Q31" i="5"/>
  <c r="P31" i="5"/>
  <c r="O31" i="5"/>
  <c r="N31" i="5"/>
  <c r="M31" i="5"/>
  <c r="Y31" i="5"/>
  <c r="AU30" i="5"/>
  <c r="AT30" i="5"/>
  <c r="AS30" i="5"/>
  <c r="AR30" i="5"/>
  <c r="AQ30" i="5"/>
  <c r="AP30" i="5"/>
  <c r="AO30" i="5"/>
  <c r="W30" i="5"/>
  <c r="S30" i="5"/>
  <c r="R30" i="5"/>
  <c r="Q30" i="5"/>
  <c r="P30" i="5"/>
  <c r="O30" i="5"/>
  <c r="N30" i="5"/>
  <c r="M30" i="5"/>
  <c r="Y30" i="5"/>
  <c r="AU29" i="5"/>
  <c r="AT29" i="5"/>
  <c r="AS29" i="5"/>
  <c r="AR29" i="5"/>
  <c r="AQ29" i="5"/>
  <c r="AP29" i="5"/>
  <c r="AO29" i="5"/>
  <c r="W29" i="5"/>
  <c r="S29" i="5"/>
  <c r="R29" i="5"/>
  <c r="Q29" i="5"/>
  <c r="P29" i="5"/>
  <c r="O29" i="5"/>
  <c r="N29" i="5"/>
  <c r="M29" i="5"/>
  <c r="Y29" i="5"/>
  <c r="AU28" i="5"/>
  <c r="AT28" i="5"/>
  <c r="AS28" i="5"/>
  <c r="AR28" i="5"/>
  <c r="AQ28" i="5"/>
  <c r="AP28" i="5"/>
  <c r="AO28" i="5"/>
  <c r="W28" i="5"/>
  <c r="S28" i="5"/>
  <c r="R28" i="5"/>
  <c r="Q28" i="5"/>
  <c r="P28" i="5"/>
  <c r="O28" i="5"/>
  <c r="N28" i="5"/>
  <c r="M28" i="5"/>
  <c r="Y28" i="5"/>
  <c r="AU27" i="5"/>
  <c r="AT27" i="5"/>
  <c r="AS27" i="5"/>
  <c r="AR27" i="5"/>
  <c r="AQ27" i="5"/>
  <c r="AP27" i="5"/>
  <c r="AO27" i="5"/>
  <c r="W27" i="5"/>
  <c r="S27" i="5"/>
  <c r="R27" i="5"/>
  <c r="Q27" i="5"/>
  <c r="P27" i="5"/>
  <c r="O27" i="5"/>
  <c r="N27" i="5"/>
  <c r="M27" i="5"/>
  <c r="Y27" i="5"/>
  <c r="AU26" i="5"/>
  <c r="AT26" i="5"/>
  <c r="AS26" i="5"/>
  <c r="AR26" i="5"/>
  <c r="AQ26" i="5"/>
  <c r="AP26" i="5"/>
  <c r="AO26" i="5"/>
  <c r="W26" i="5"/>
  <c r="S26" i="5"/>
  <c r="R26" i="5"/>
  <c r="Q26" i="5"/>
  <c r="P26" i="5"/>
  <c r="O26" i="5"/>
  <c r="N26" i="5"/>
  <c r="M26" i="5"/>
  <c r="Y26" i="5"/>
  <c r="AU25" i="5"/>
  <c r="AT25" i="5"/>
  <c r="AS25" i="5"/>
  <c r="AR25" i="5"/>
  <c r="AQ25" i="5"/>
  <c r="AP25" i="5"/>
  <c r="AO25" i="5"/>
  <c r="W25" i="5"/>
  <c r="S25" i="5"/>
  <c r="R25" i="5"/>
  <c r="Q25" i="5"/>
  <c r="P25" i="5"/>
  <c r="O25" i="5"/>
  <c r="N25" i="5"/>
  <c r="M25" i="5"/>
  <c r="Y25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U24" i="5"/>
  <c r="AT24" i="5"/>
  <c r="AS24" i="5"/>
  <c r="AR24" i="5"/>
  <c r="AQ24" i="5"/>
  <c r="AP24" i="5"/>
  <c r="AO24" i="5"/>
  <c r="W24" i="5"/>
  <c r="S24" i="5"/>
  <c r="R24" i="5"/>
  <c r="Q24" i="5"/>
  <c r="P24" i="5"/>
  <c r="O24" i="5"/>
  <c r="N24" i="5"/>
  <c r="M24" i="5"/>
  <c r="Y24" i="5"/>
  <c r="AU23" i="5"/>
  <c r="AT23" i="5"/>
  <c r="AS23" i="5"/>
  <c r="AR23" i="5"/>
  <c r="AQ23" i="5"/>
  <c r="AP23" i="5"/>
  <c r="AO23" i="5"/>
  <c r="W23" i="5"/>
  <c r="S23" i="5"/>
  <c r="R23" i="5"/>
  <c r="Q23" i="5"/>
  <c r="P23" i="5"/>
  <c r="O23" i="5"/>
  <c r="N23" i="5"/>
  <c r="M23" i="5"/>
  <c r="Y23" i="5"/>
  <c r="AU22" i="5"/>
  <c r="AT22" i="5"/>
  <c r="AS22" i="5"/>
  <c r="AR22" i="5"/>
  <c r="AQ22" i="5"/>
  <c r="AP22" i="5"/>
  <c r="AO22" i="5"/>
  <c r="W22" i="5"/>
  <c r="S22" i="5"/>
  <c r="R22" i="5"/>
  <c r="Q22" i="5"/>
  <c r="P22" i="5"/>
  <c r="O22" i="5"/>
  <c r="N22" i="5"/>
  <c r="M22" i="5"/>
  <c r="Y22" i="5"/>
  <c r="AU21" i="5"/>
  <c r="AT21" i="5"/>
  <c r="AS21" i="5"/>
  <c r="AR21" i="5"/>
  <c r="AQ21" i="5"/>
  <c r="AP21" i="5"/>
  <c r="AO21" i="5"/>
  <c r="W21" i="5"/>
  <c r="S21" i="5"/>
  <c r="R21" i="5"/>
  <c r="Q21" i="5"/>
  <c r="P21" i="5"/>
  <c r="O21" i="5"/>
  <c r="N21" i="5"/>
  <c r="M21" i="5"/>
  <c r="Y21" i="5"/>
  <c r="AU20" i="5"/>
  <c r="AT20" i="5"/>
  <c r="AS20" i="5"/>
  <c r="AR20" i="5"/>
  <c r="AQ20" i="5"/>
  <c r="AP20" i="5"/>
  <c r="AO20" i="5"/>
  <c r="W20" i="5"/>
  <c r="S20" i="5"/>
  <c r="R20" i="5"/>
  <c r="Q20" i="5"/>
  <c r="P20" i="5"/>
  <c r="O20" i="5"/>
  <c r="N20" i="5"/>
  <c r="M20" i="5"/>
  <c r="Y20" i="5"/>
  <c r="AU19" i="5"/>
  <c r="AT19" i="5"/>
  <c r="AS19" i="5"/>
  <c r="AR19" i="5"/>
  <c r="AQ19" i="5"/>
  <c r="AP19" i="5"/>
  <c r="AO19" i="5"/>
  <c r="W19" i="5"/>
  <c r="S19" i="5"/>
  <c r="R19" i="5"/>
  <c r="Q19" i="5"/>
  <c r="P19" i="5"/>
  <c r="O19" i="5"/>
  <c r="N19" i="5"/>
  <c r="M19" i="5"/>
  <c r="Y19" i="5"/>
  <c r="AU18" i="5"/>
  <c r="AT18" i="5"/>
  <c r="AS18" i="5"/>
  <c r="AR18" i="5"/>
  <c r="AQ18" i="5"/>
  <c r="AP18" i="5"/>
  <c r="AO18" i="5"/>
  <c r="W18" i="5"/>
  <c r="S18" i="5"/>
  <c r="R18" i="5"/>
  <c r="Q18" i="5"/>
  <c r="P18" i="5"/>
  <c r="O18" i="5"/>
  <c r="N18" i="5"/>
  <c r="M18" i="5"/>
  <c r="Y18" i="5"/>
  <c r="AU17" i="5"/>
  <c r="AT17" i="5"/>
  <c r="AS17" i="5"/>
  <c r="AR17" i="5"/>
  <c r="AQ17" i="5"/>
  <c r="AP17" i="5"/>
  <c r="AO17" i="5"/>
  <c r="W17" i="5"/>
  <c r="S17" i="5"/>
  <c r="R17" i="5"/>
  <c r="Q17" i="5"/>
  <c r="P17" i="5"/>
  <c r="O17" i="5"/>
  <c r="N17" i="5"/>
  <c r="M17" i="5"/>
  <c r="Y17" i="5"/>
  <c r="AU16" i="5"/>
  <c r="AT16" i="5"/>
  <c r="AS16" i="5"/>
  <c r="AR16" i="5"/>
  <c r="AQ16" i="5"/>
  <c r="AP16" i="5"/>
  <c r="AO16" i="5"/>
  <c r="W16" i="5"/>
  <c r="S16" i="5"/>
  <c r="R16" i="5"/>
  <c r="Q16" i="5"/>
  <c r="P16" i="5"/>
  <c r="O16" i="5"/>
  <c r="N16" i="5"/>
  <c r="M16" i="5"/>
  <c r="Y16" i="5"/>
  <c r="AU15" i="5"/>
  <c r="AT15" i="5"/>
  <c r="AS15" i="5"/>
  <c r="AR15" i="5"/>
  <c r="AQ15" i="5"/>
  <c r="AP15" i="5"/>
  <c r="AO15" i="5"/>
  <c r="W15" i="5"/>
  <c r="S15" i="5"/>
  <c r="R15" i="5"/>
  <c r="Q15" i="5"/>
  <c r="P15" i="5"/>
  <c r="O15" i="5"/>
  <c r="N15" i="5"/>
  <c r="M15" i="5"/>
  <c r="Y15" i="5"/>
  <c r="AU14" i="5"/>
  <c r="AT14" i="5"/>
  <c r="AS14" i="5"/>
  <c r="AR14" i="5"/>
  <c r="AQ14" i="5"/>
  <c r="AP14" i="5"/>
  <c r="AO14" i="5"/>
  <c r="W14" i="5"/>
  <c r="S14" i="5"/>
  <c r="R14" i="5"/>
  <c r="Q14" i="5"/>
  <c r="P14" i="5"/>
  <c r="O14" i="5"/>
  <c r="N14" i="5"/>
  <c r="M14" i="5"/>
  <c r="Y14" i="5"/>
  <c r="AU13" i="5"/>
  <c r="AT13" i="5"/>
  <c r="AS13" i="5"/>
  <c r="AR13" i="5"/>
  <c r="AQ13" i="5"/>
  <c r="AP13" i="5"/>
  <c r="AO13" i="5"/>
  <c r="W13" i="5"/>
  <c r="S13" i="5"/>
  <c r="R13" i="5"/>
  <c r="Q13" i="5"/>
  <c r="P13" i="5"/>
  <c r="O13" i="5"/>
  <c r="N13" i="5"/>
  <c r="M13" i="5"/>
  <c r="Y13" i="5"/>
  <c r="AU12" i="5"/>
  <c r="AT12" i="5"/>
  <c r="AS12" i="5"/>
  <c r="AR12" i="5"/>
  <c r="AQ12" i="5"/>
  <c r="AP12" i="5"/>
  <c r="AO12" i="5"/>
  <c r="Y12" i="5"/>
  <c r="W12" i="5"/>
  <c r="AU11" i="5"/>
  <c r="AT11" i="5"/>
  <c r="AS11" i="5"/>
  <c r="AR11" i="5"/>
  <c r="AQ11" i="5"/>
  <c r="AP11" i="5"/>
  <c r="AO11" i="5"/>
  <c r="Y11" i="5"/>
  <c r="W11" i="5"/>
  <c r="AU10" i="5"/>
  <c r="AT10" i="5"/>
  <c r="AS10" i="5"/>
  <c r="AR10" i="5"/>
  <c r="AQ10" i="5"/>
  <c r="AP10" i="5"/>
  <c r="AO10" i="5"/>
  <c r="Y10" i="5"/>
  <c r="W10" i="5"/>
  <c r="AU9" i="5"/>
  <c r="AT9" i="5"/>
  <c r="AS9" i="5"/>
  <c r="AR9" i="5"/>
  <c r="AQ9" i="5"/>
  <c r="AP9" i="5"/>
  <c r="AO9" i="5"/>
  <c r="Y9" i="5"/>
  <c r="W9" i="5"/>
  <c r="AU8" i="5"/>
  <c r="AT8" i="5"/>
  <c r="AS8" i="5"/>
  <c r="AR8" i="5"/>
  <c r="AQ8" i="5"/>
  <c r="AP8" i="5"/>
  <c r="AO8" i="5"/>
  <c r="Y8" i="5"/>
  <c r="W8" i="5"/>
  <c r="AU7" i="5"/>
  <c r="AT7" i="5"/>
  <c r="AS7" i="5"/>
  <c r="AR7" i="5"/>
  <c r="AQ7" i="5"/>
  <c r="AP7" i="5"/>
  <c r="AO7" i="5"/>
  <c r="Y7" i="5"/>
  <c r="W7" i="5"/>
  <c r="AU6" i="5"/>
  <c r="AT6" i="5"/>
  <c r="AS6" i="5"/>
  <c r="AR6" i="5"/>
  <c r="AQ6" i="5"/>
  <c r="AP6" i="5"/>
  <c r="AO6" i="5"/>
  <c r="Y6" i="5"/>
  <c r="W6" i="5"/>
  <c r="AU5" i="5"/>
  <c r="AT5" i="5"/>
  <c r="AS5" i="5"/>
  <c r="AR5" i="5"/>
  <c r="AQ5" i="5"/>
  <c r="AP5" i="5"/>
  <c r="AO5" i="5"/>
  <c r="Y5" i="5"/>
  <c r="W5" i="5"/>
  <c r="AU41" i="4"/>
  <c r="AT41" i="4"/>
  <c r="AS41" i="4"/>
  <c r="AR41" i="4"/>
  <c r="AQ41" i="4"/>
  <c r="AP41" i="4"/>
  <c r="AO41" i="4"/>
  <c r="W41" i="4"/>
  <c r="S41" i="4"/>
  <c r="R41" i="4"/>
  <c r="Q41" i="4"/>
  <c r="P41" i="4"/>
  <c r="O41" i="4"/>
  <c r="N41" i="4"/>
  <c r="M41" i="4"/>
  <c r="AU40" i="4"/>
  <c r="AT40" i="4"/>
  <c r="AS40" i="4"/>
  <c r="AR40" i="4"/>
  <c r="AQ40" i="4"/>
  <c r="AP40" i="4"/>
  <c r="AO40" i="4"/>
  <c r="AU39" i="4"/>
  <c r="AT39" i="4"/>
  <c r="AS39" i="4"/>
  <c r="AR39" i="4"/>
  <c r="AQ39" i="4"/>
  <c r="AP39" i="4"/>
  <c r="AO39" i="4"/>
  <c r="W40" i="4"/>
  <c r="S40" i="4"/>
  <c r="R40" i="4"/>
  <c r="Q40" i="4"/>
  <c r="P40" i="4"/>
  <c r="O40" i="4"/>
  <c r="N40" i="4"/>
  <c r="M40" i="4"/>
  <c r="W39" i="4"/>
  <c r="S39" i="4"/>
  <c r="R39" i="4"/>
  <c r="Q39" i="4"/>
  <c r="P39" i="4"/>
  <c r="O39" i="4"/>
  <c r="N39" i="4"/>
  <c r="M39" i="4"/>
  <c r="AU38" i="4"/>
  <c r="AT38" i="4"/>
  <c r="AS38" i="4"/>
  <c r="AR38" i="4"/>
  <c r="AQ38" i="4"/>
  <c r="AP38" i="4"/>
  <c r="AO38" i="4"/>
  <c r="AU37" i="4"/>
  <c r="AT37" i="4"/>
  <c r="AS37" i="4"/>
  <c r="AR37" i="4"/>
  <c r="AQ37" i="4"/>
  <c r="AP37" i="4"/>
  <c r="AO37" i="4"/>
  <c r="W38" i="4"/>
  <c r="S38" i="4"/>
  <c r="R38" i="4"/>
  <c r="Q38" i="4"/>
  <c r="P38" i="4"/>
  <c r="O38" i="4"/>
  <c r="N38" i="4"/>
  <c r="M38" i="4"/>
  <c r="W37" i="4"/>
  <c r="S37" i="4"/>
  <c r="R37" i="4"/>
  <c r="Q37" i="4"/>
  <c r="P37" i="4"/>
  <c r="O37" i="4"/>
  <c r="N37" i="4"/>
  <c r="M37" i="4"/>
  <c r="AU36" i="4"/>
  <c r="AT36" i="4"/>
  <c r="AS36" i="4"/>
  <c r="AR36" i="4"/>
  <c r="AQ36" i="4"/>
  <c r="AP36" i="4"/>
  <c r="AO36" i="4"/>
  <c r="W36" i="4"/>
  <c r="S36" i="4"/>
  <c r="R36" i="4"/>
  <c r="Q36" i="4"/>
  <c r="P36" i="4"/>
  <c r="O36" i="4"/>
  <c r="N36" i="4"/>
  <c r="M36" i="4"/>
  <c r="AU35" i="4"/>
  <c r="AT35" i="4"/>
  <c r="AS35" i="4"/>
  <c r="AR35" i="4"/>
  <c r="AQ35" i="4"/>
  <c r="AP35" i="4"/>
  <c r="AO35" i="4"/>
  <c r="W35" i="4"/>
  <c r="S35" i="4"/>
  <c r="R35" i="4"/>
  <c r="Q35" i="4"/>
  <c r="P35" i="4"/>
  <c r="O35" i="4"/>
  <c r="N35" i="4"/>
  <c r="M35" i="4"/>
  <c r="AU34" i="4"/>
  <c r="AT34" i="4"/>
  <c r="AS34" i="4"/>
  <c r="AR34" i="4"/>
  <c r="AQ34" i="4"/>
  <c r="AP34" i="4"/>
  <c r="AO34" i="4"/>
  <c r="W34" i="4"/>
  <c r="S34" i="4"/>
  <c r="R34" i="4"/>
  <c r="Q34" i="4"/>
  <c r="P34" i="4"/>
  <c r="O34" i="4"/>
  <c r="N34" i="4"/>
  <c r="M34" i="4"/>
  <c r="AU33" i="4"/>
  <c r="AT33" i="4"/>
  <c r="AS33" i="4"/>
  <c r="AR33" i="4"/>
  <c r="AQ33" i="4"/>
  <c r="AP33" i="4"/>
  <c r="AO33" i="4"/>
  <c r="W33" i="4"/>
  <c r="S33" i="4"/>
  <c r="R33" i="4"/>
  <c r="Q33" i="4"/>
  <c r="P33" i="4"/>
  <c r="O33" i="4"/>
  <c r="N33" i="4"/>
  <c r="M33" i="4"/>
  <c r="AU32" i="4"/>
  <c r="AT32" i="4"/>
  <c r="AS32" i="4"/>
  <c r="AR32" i="4"/>
  <c r="AQ32" i="4"/>
  <c r="AP32" i="4"/>
  <c r="AO32" i="4"/>
  <c r="W32" i="4"/>
  <c r="S32" i="4"/>
  <c r="R32" i="4"/>
  <c r="Q32" i="4"/>
  <c r="P32" i="4"/>
  <c r="O32" i="4"/>
  <c r="N32" i="4"/>
  <c r="M32" i="4"/>
  <c r="AU31" i="4"/>
  <c r="AT31" i="4"/>
  <c r="AS31" i="4"/>
  <c r="AR31" i="4"/>
  <c r="AQ31" i="4"/>
  <c r="AP31" i="4"/>
  <c r="AO31" i="4"/>
  <c r="W31" i="4"/>
  <c r="S31" i="4"/>
  <c r="R31" i="4"/>
  <c r="Q31" i="4"/>
  <c r="P31" i="4"/>
  <c r="O31" i="4"/>
  <c r="N31" i="4"/>
  <c r="M31" i="4"/>
  <c r="AU30" i="4"/>
  <c r="AT30" i="4"/>
  <c r="AS30" i="4"/>
  <c r="AR30" i="4"/>
  <c r="AQ30" i="4"/>
  <c r="AP30" i="4"/>
  <c r="AO30" i="4"/>
  <c r="AU29" i="4"/>
  <c r="AT29" i="4"/>
  <c r="AS29" i="4"/>
  <c r="AR29" i="4"/>
  <c r="AQ29" i="4"/>
  <c r="AP29" i="4"/>
  <c r="AO29" i="4"/>
  <c r="W30" i="4"/>
  <c r="S30" i="4"/>
  <c r="R30" i="4"/>
  <c r="Q30" i="4"/>
  <c r="P30" i="4"/>
  <c r="O30" i="4"/>
  <c r="N30" i="4"/>
  <c r="M30" i="4"/>
  <c r="W29" i="4"/>
  <c r="S29" i="4"/>
  <c r="R29" i="4"/>
  <c r="Q29" i="4"/>
  <c r="P29" i="4"/>
  <c r="O29" i="4"/>
  <c r="N29" i="4"/>
  <c r="M29" i="4"/>
  <c r="W28" i="4"/>
  <c r="AU28" i="4"/>
  <c r="AT28" i="4"/>
  <c r="AS28" i="4"/>
  <c r="AR28" i="4"/>
  <c r="AQ28" i="4"/>
  <c r="AP28" i="4"/>
  <c r="AO28" i="4"/>
  <c r="S28" i="4"/>
  <c r="R28" i="4"/>
  <c r="Q28" i="4"/>
  <c r="P28" i="4"/>
  <c r="O28" i="4"/>
  <c r="N28" i="4"/>
  <c r="M28" i="4"/>
  <c r="M27" i="4"/>
  <c r="W27" i="4"/>
  <c r="S27" i="4"/>
  <c r="R27" i="4"/>
  <c r="Q27" i="4"/>
  <c r="P27" i="4"/>
  <c r="O27" i="4"/>
  <c r="N27" i="4"/>
  <c r="AU27" i="4"/>
  <c r="AT27" i="4"/>
  <c r="AS27" i="4"/>
  <c r="AR27" i="4"/>
  <c r="AQ27" i="4"/>
  <c r="AP27" i="4"/>
  <c r="AO27" i="4"/>
  <c r="W26" i="4"/>
  <c r="AU26" i="4"/>
  <c r="AT26" i="4"/>
  <c r="AS26" i="4"/>
  <c r="AR26" i="4"/>
  <c r="AQ26" i="4"/>
  <c r="AP26" i="4"/>
  <c r="AO26" i="4"/>
  <c r="S26" i="4"/>
  <c r="R26" i="4"/>
  <c r="Q26" i="4"/>
  <c r="P26" i="4"/>
  <c r="O26" i="4"/>
  <c r="N26" i="4"/>
  <c r="M26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W25" i="4"/>
  <c r="S25" i="4"/>
  <c r="R25" i="4"/>
  <c r="Q25" i="4"/>
  <c r="P25" i="4"/>
  <c r="O25" i="4"/>
  <c r="N25" i="4"/>
  <c r="M25" i="4"/>
  <c r="AU25" i="4"/>
  <c r="AT25" i="4"/>
  <c r="AS25" i="4"/>
  <c r="AR25" i="4"/>
  <c r="AQ25" i="4"/>
  <c r="AP25" i="4"/>
  <c r="AO25" i="4"/>
  <c r="W24" i="4"/>
  <c r="AU24" i="4"/>
  <c r="AT24" i="4"/>
  <c r="AS24" i="4"/>
  <c r="AR24" i="4"/>
  <c r="AQ24" i="4"/>
  <c r="AP24" i="4"/>
  <c r="AO24" i="4"/>
  <c r="S24" i="4"/>
  <c r="R24" i="4"/>
  <c r="Q24" i="4"/>
  <c r="P24" i="4"/>
  <c r="O24" i="4"/>
  <c r="N24" i="4"/>
  <c r="M24" i="4"/>
  <c r="W23" i="4"/>
  <c r="S23" i="4"/>
  <c r="R23" i="4"/>
  <c r="Q23" i="4"/>
  <c r="P23" i="4"/>
  <c r="O23" i="4"/>
  <c r="N23" i="4"/>
  <c r="M23" i="4"/>
  <c r="AU23" i="4"/>
  <c r="AT23" i="4"/>
  <c r="AS23" i="4"/>
  <c r="AR23" i="4"/>
  <c r="AQ23" i="4"/>
  <c r="AP23" i="4"/>
  <c r="AO23" i="4"/>
  <c r="AU22" i="4"/>
  <c r="AT22" i="4"/>
  <c r="AS22" i="4"/>
  <c r="AR22" i="4"/>
  <c r="AQ22" i="4"/>
  <c r="AP22" i="4"/>
  <c r="AO22" i="4"/>
  <c r="W22" i="4"/>
  <c r="S22" i="4"/>
  <c r="R22" i="4"/>
  <c r="Q22" i="4"/>
  <c r="P22" i="4"/>
  <c r="O22" i="4"/>
  <c r="N22" i="4"/>
  <c r="M22" i="4"/>
  <c r="AU21" i="4"/>
  <c r="AT21" i="4"/>
  <c r="AS21" i="4"/>
  <c r="AR21" i="4"/>
  <c r="AQ21" i="4"/>
  <c r="AP21" i="4"/>
  <c r="AO21" i="4"/>
  <c r="W21" i="4"/>
  <c r="S21" i="4"/>
  <c r="R21" i="4"/>
  <c r="Q21" i="4"/>
  <c r="P21" i="4"/>
  <c r="O21" i="4"/>
  <c r="N21" i="4"/>
  <c r="M21" i="4"/>
  <c r="W20" i="4"/>
  <c r="AU20" i="4"/>
  <c r="AT20" i="4"/>
  <c r="AS20" i="4"/>
  <c r="AR20" i="4"/>
  <c r="AQ20" i="4"/>
  <c r="AP20" i="4"/>
  <c r="AO20" i="4"/>
  <c r="S20" i="4"/>
  <c r="R20" i="4"/>
  <c r="Q20" i="4"/>
  <c r="P20" i="4"/>
  <c r="O20" i="4"/>
  <c r="N20" i="4"/>
  <c r="M20" i="4"/>
  <c r="AU19" i="4"/>
  <c r="AT19" i="4"/>
  <c r="AS19" i="4"/>
  <c r="AR19" i="4"/>
  <c r="AQ19" i="4"/>
  <c r="AP19" i="4"/>
  <c r="AO19" i="4"/>
  <c r="W19" i="4"/>
  <c r="S19" i="4"/>
  <c r="R19" i="4"/>
  <c r="Q19" i="4"/>
  <c r="P19" i="4"/>
  <c r="O19" i="4"/>
  <c r="N19" i="4"/>
  <c r="M19" i="4"/>
  <c r="AU18" i="4"/>
  <c r="AT18" i="4"/>
  <c r="AS18" i="4"/>
  <c r="AR18" i="4"/>
  <c r="AQ18" i="4"/>
  <c r="AP18" i="4"/>
  <c r="AO18" i="4"/>
  <c r="W18" i="4"/>
  <c r="S18" i="4"/>
  <c r="R18" i="4"/>
  <c r="Q18" i="4"/>
  <c r="P18" i="4"/>
  <c r="O18" i="4"/>
  <c r="N18" i="4"/>
  <c r="M18" i="4"/>
  <c r="AU17" i="4"/>
  <c r="AT17" i="4"/>
  <c r="AS17" i="4"/>
  <c r="AR17" i="4"/>
  <c r="AQ17" i="4"/>
  <c r="AP17" i="4"/>
  <c r="AO17" i="4"/>
  <c r="W17" i="4"/>
  <c r="S17" i="4"/>
  <c r="R17" i="4"/>
  <c r="Q17" i="4"/>
  <c r="P17" i="4"/>
  <c r="O17" i="4"/>
  <c r="N17" i="4"/>
  <c r="M17" i="4"/>
  <c r="AU16" i="4"/>
  <c r="AT16" i="4"/>
  <c r="AS16" i="4"/>
  <c r="AR16" i="4"/>
  <c r="AQ16" i="4"/>
  <c r="AP16" i="4"/>
  <c r="AO16" i="4"/>
  <c r="W16" i="4"/>
  <c r="S16" i="4"/>
  <c r="R16" i="4"/>
  <c r="Q16" i="4"/>
  <c r="P16" i="4"/>
  <c r="O16" i="4"/>
  <c r="N16" i="4"/>
  <c r="M16" i="4"/>
  <c r="AU15" i="4"/>
  <c r="AT15" i="4"/>
  <c r="AS15" i="4"/>
  <c r="AR15" i="4"/>
  <c r="AQ15" i="4"/>
  <c r="AP15" i="4"/>
  <c r="AO15" i="4"/>
  <c r="S15" i="4"/>
  <c r="R15" i="4"/>
  <c r="Q15" i="4"/>
  <c r="P15" i="4"/>
  <c r="O15" i="4"/>
  <c r="N15" i="4"/>
  <c r="M15" i="4"/>
  <c r="W15" i="4"/>
  <c r="AU14" i="4"/>
  <c r="AT14" i="4"/>
  <c r="AS14" i="4"/>
  <c r="AR14" i="4"/>
  <c r="AQ14" i="4"/>
  <c r="AP14" i="4"/>
  <c r="AO14" i="4"/>
  <c r="W14" i="4"/>
  <c r="S14" i="4"/>
  <c r="R14" i="4"/>
  <c r="Q14" i="4"/>
  <c r="P14" i="4"/>
  <c r="O14" i="4"/>
  <c r="N14" i="4"/>
  <c r="M14" i="4"/>
  <c r="W13" i="4"/>
  <c r="W12" i="4"/>
  <c r="W11" i="4"/>
  <c r="W10" i="4"/>
  <c r="W9" i="4"/>
  <c r="W8" i="4"/>
  <c r="W7" i="4"/>
  <c r="AT13" i="4"/>
  <c r="AS13" i="4"/>
  <c r="AR13" i="4"/>
  <c r="AQ13" i="4"/>
  <c r="AP13" i="4"/>
  <c r="AO13" i="4"/>
  <c r="AU6" i="4"/>
  <c r="AU7" i="4"/>
  <c r="AU8" i="4"/>
  <c r="AU9" i="4"/>
  <c r="AU10" i="4"/>
  <c r="AU11" i="4"/>
  <c r="AU12" i="4"/>
  <c r="AU13" i="4"/>
  <c r="AU5" i="4"/>
  <c r="S13" i="4"/>
  <c r="R13" i="4"/>
  <c r="Q13" i="4"/>
  <c r="P13" i="4"/>
  <c r="O13" i="4"/>
  <c r="N13" i="4"/>
  <c r="M13" i="4"/>
  <c r="AT12" i="4"/>
  <c r="AS12" i="4"/>
  <c r="AR12" i="4"/>
  <c r="AQ12" i="4"/>
  <c r="AP12" i="4"/>
  <c r="AO12" i="4"/>
  <c r="AT11" i="4"/>
  <c r="AS11" i="4"/>
  <c r="AR11" i="4"/>
  <c r="AQ11" i="4"/>
  <c r="AP11" i="4"/>
  <c r="AO11" i="4"/>
  <c r="AT10" i="4"/>
  <c r="AS10" i="4"/>
  <c r="AR10" i="4"/>
  <c r="AQ10" i="4"/>
  <c r="AP10" i="4"/>
  <c r="AO10" i="4"/>
  <c r="Y24" i="4"/>
  <c r="Y27" i="4"/>
  <c r="Y41" i="4"/>
  <c r="Y26" i="4"/>
  <c r="Y20" i="4"/>
  <c r="Y25" i="4"/>
  <c r="Y28" i="4"/>
  <c r="Y32" i="4"/>
  <c r="Y39" i="4"/>
  <c r="Y36" i="4"/>
  <c r="Y29" i="4"/>
  <c r="Y30" i="4"/>
  <c r="Y23" i="4"/>
  <c r="Y31" i="4"/>
  <c r="Y38" i="4"/>
  <c r="Y40" i="4"/>
  <c r="Y37" i="4"/>
  <c r="Y35" i="4"/>
  <c r="Y34" i="4"/>
  <c r="Y33" i="4"/>
  <c r="Y22" i="4"/>
  <c r="Y21" i="4"/>
  <c r="Y19" i="4"/>
  <c r="AT9" i="4"/>
  <c r="AS9" i="4"/>
  <c r="AR9" i="4"/>
  <c r="AQ9" i="4"/>
  <c r="AP9" i="4"/>
  <c r="AO9" i="4"/>
  <c r="AT8" i="4"/>
  <c r="AS8" i="4"/>
  <c r="AR8" i="4"/>
  <c r="AQ8" i="4"/>
  <c r="AP8" i="4"/>
  <c r="AO8" i="4"/>
  <c r="AT7" i="4"/>
  <c r="AS7" i="4"/>
  <c r="AR7" i="4"/>
  <c r="AQ7" i="4"/>
  <c r="AP7" i="4"/>
  <c r="AO7" i="4"/>
  <c r="AT6" i="4"/>
  <c r="AS6" i="4"/>
  <c r="AR6" i="4"/>
  <c r="AQ6" i="4"/>
  <c r="AP6" i="4"/>
  <c r="AO6" i="4"/>
  <c r="AT5" i="4"/>
  <c r="AS5" i="4"/>
  <c r="AR5" i="4"/>
  <c r="AQ5" i="4"/>
  <c r="AP5" i="4"/>
  <c r="AO5" i="4"/>
  <c r="W6" i="4"/>
  <c r="W5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X27" i="1"/>
  <c r="S27" i="1"/>
  <c r="U27" i="1"/>
  <c r="T27" i="1"/>
  <c r="S26" i="1"/>
  <c r="S25" i="1"/>
  <c r="S24" i="1"/>
  <c r="S23" i="1"/>
  <c r="U26" i="1"/>
  <c r="T26" i="1"/>
  <c r="X25" i="1"/>
  <c r="U25" i="1"/>
  <c r="T25" i="1"/>
  <c r="U24" i="1"/>
  <c r="T24" i="1"/>
  <c r="X24" i="1"/>
  <c r="U23" i="1"/>
  <c r="T23" i="1"/>
  <c r="U22" i="1"/>
  <c r="T22" i="1"/>
  <c r="S22" i="1"/>
  <c r="U21" i="1"/>
  <c r="T21" i="1"/>
  <c r="S21" i="1"/>
  <c r="U20" i="1"/>
  <c r="S20" i="1"/>
  <c r="T20" i="1"/>
  <c r="U19" i="1"/>
  <c r="T19" i="1"/>
  <c r="S19" i="1"/>
  <c r="U18" i="1"/>
  <c r="T18" i="1"/>
  <c r="S18" i="1"/>
  <c r="U17" i="1"/>
  <c r="T17" i="1"/>
  <c r="S17" i="1"/>
  <c r="U16" i="1"/>
  <c r="T16" i="1"/>
  <c r="S16" i="1"/>
  <c r="S14" i="1"/>
  <c r="X15" i="1"/>
  <c r="X16" i="1"/>
  <c r="X17" i="1"/>
  <c r="X18" i="1"/>
  <c r="X19" i="1"/>
  <c r="X20" i="1"/>
  <c r="X21" i="1"/>
  <c r="X22" i="1"/>
  <c r="X23" i="1"/>
  <c r="X26" i="1"/>
  <c r="X28" i="1"/>
  <c r="X29" i="1"/>
  <c r="X30" i="1"/>
  <c r="U15" i="1"/>
  <c r="T15" i="1"/>
  <c r="S15" i="1"/>
  <c r="X6" i="1"/>
  <c r="X7" i="1"/>
  <c r="X8" i="1"/>
  <c r="X9" i="1"/>
  <c r="X10" i="1"/>
  <c r="X11" i="1"/>
  <c r="X12" i="1"/>
  <c r="X13" i="1"/>
  <c r="X14" i="1"/>
  <c r="X5" i="1"/>
  <c r="U14" i="1"/>
  <c r="T14" i="1"/>
  <c r="U13" i="1"/>
  <c r="T13" i="1"/>
  <c r="S13" i="1"/>
  <c r="U12" i="1"/>
  <c r="T12" i="1"/>
  <c r="S12" i="1"/>
  <c r="S11" i="1"/>
  <c r="S10" i="1"/>
  <c r="S9" i="1"/>
  <c r="S8" i="1"/>
  <c r="S7" i="1"/>
  <c r="S6" i="1"/>
  <c r="U10" i="1"/>
  <c r="X31" i="1"/>
  <c r="X32" i="1"/>
  <c r="X33" i="1"/>
  <c r="X34" i="1"/>
  <c r="X35" i="1"/>
  <c r="X36" i="1"/>
  <c r="X37" i="1"/>
  <c r="U9" i="1"/>
  <c r="U6" i="1"/>
  <c r="S5" i="1"/>
</calcChain>
</file>

<file path=xl/sharedStrings.xml><?xml version="1.0" encoding="utf-8"?>
<sst xmlns="http://schemas.openxmlformats.org/spreadsheetml/2006/main" count="5073" uniqueCount="106">
  <si>
    <t>Year</t>
  </si>
  <si>
    <t>Climatic Case</t>
  </si>
  <si>
    <t>UGS use</t>
  </si>
  <si>
    <t>Coal/Gas</t>
  </si>
  <si>
    <t>FID</t>
  </si>
  <si>
    <t>Green</t>
  </si>
  <si>
    <t>AD+AW</t>
  </si>
  <si>
    <t>Ref</t>
  </si>
  <si>
    <t>no</t>
  </si>
  <si>
    <t>low</t>
  </si>
  <si>
    <t>No</t>
  </si>
  <si>
    <t>Load</t>
  </si>
  <si>
    <t>NO</t>
  </si>
  <si>
    <t>RU</t>
  </si>
  <si>
    <t>LNG</t>
  </si>
  <si>
    <t>DZ</t>
  </si>
  <si>
    <t>LY</t>
  </si>
  <si>
    <t>AZ</t>
  </si>
  <si>
    <t>NP</t>
  </si>
  <si>
    <t>Bill</t>
  </si>
  <si>
    <t>Gas</t>
  </si>
  <si>
    <t>Coal</t>
  </si>
  <si>
    <t>CO2</t>
  </si>
  <si>
    <t>Prices</t>
  </si>
  <si>
    <t>Source</t>
  </si>
  <si>
    <t>Route</t>
  </si>
  <si>
    <t>Trans</t>
  </si>
  <si>
    <t>UGS</t>
  </si>
  <si>
    <t>Scenarios</t>
  </si>
  <si>
    <t>Infra.</t>
  </si>
  <si>
    <t>Global</t>
  </si>
  <si>
    <t>Cheap NO flat</t>
  </si>
  <si>
    <t>Exp NO flat</t>
  </si>
  <si>
    <t>Cheap RU flat</t>
  </si>
  <si>
    <t>Exp RU flat</t>
  </si>
  <si>
    <t>Cheap LNG flat</t>
  </si>
  <si>
    <t>Exp LNG flat</t>
  </si>
  <si>
    <t>Cheap NA flat</t>
  </si>
  <si>
    <t>Exp NA flat</t>
  </si>
  <si>
    <t>Interm</t>
  </si>
  <si>
    <t>High &gt;40</t>
  </si>
  <si>
    <t>High &gt;30</t>
  </si>
  <si>
    <t>High &gt;20</t>
  </si>
  <si>
    <t>High &gt;10</t>
  </si>
  <si>
    <t>High &gt;0</t>
  </si>
  <si>
    <t>2x500</t>
  </si>
  <si>
    <t>Total</t>
  </si>
  <si>
    <t>2x1000</t>
  </si>
  <si>
    <t>Cheap NO ramp</t>
  </si>
  <si>
    <t>AZ&gt;AZ1</t>
  </si>
  <si>
    <t>AZ&gt;AZ2</t>
  </si>
  <si>
    <t>DZ&gt;DZ1</t>
  </si>
  <si>
    <t>DZ&gt;DZ2</t>
  </si>
  <si>
    <t>LY&gt;LY1</t>
  </si>
  <si>
    <t>LY&gt;LY2</t>
  </si>
  <si>
    <t>NO&gt;NO1</t>
  </si>
  <si>
    <t>NO&gt;NO2</t>
  </si>
  <si>
    <t>RUm&gt;RUm1</t>
  </si>
  <si>
    <t>RUm&gt;RUm2</t>
  </si>
  <si>
    <t>Cheap RU ramp</t>
  </si>
  <si>
    <t>Cheap LNG ramp</t>
  </si>
  <si>
    <t>W mod</t>
  </si>
  <si>
    <t>NP1</t>
  </si>
  <si>
    <t>NP2</t>
  </si>
  <si>
    <t>MIN NP</t>
  </si>
  <si>
    <t>2x0.5</t>
  </si>
  <si>
    <t>LNG1</t>
  </si>
  <si>
    <t>LNG2</t>
  </si>
  <si>
    <t>Cheap DZ ramp</t>
  </si>
  <si>
    <t>Cheap AZ ramp</t>
  </si>
  <si>
    <t>Cheap LY ramp</t>
  </si>
  <si>
    <t>2x500 vs 2x1000</t>
  </si>
  <si>
    <t xml:space="preserve">Yearly supply shares </t>
  </si>
  <si>
    <t>Summer supply shares</t>
  </si>
  <si>
    <t>winter</t>
  </si>
  <si>
    <t>Summer</t>
  </si>
  <si>
    <t>NO cheap</t>
  </si>
  <si>
    <t>RU cheap</t>
  </si>
  <si>
    <t>LNG cheap</t>
  </si>
  <si>
    <t>AZ cheap</t>
  </si>
  <si>
    <t>DZ cheap</t>
  </si>
  <si>
    <t>LY cheap</t>
  </si>
  <si>
    <t>NO expensive</t>
  </si>
  <si>
    <t>RU expensive</t>
  </si>
  <si>
    <t>LNG expensive</t>
  </si>
  <si>
    <t>AZ expensive</t>
  </si>
  <si>
    <t>DZ expensive</t>
  </si>
  <si>
    <t>LY expensive</t>
  </si>
  <si>
    <t>Intermediate</t>
  </si>
  <si>
    <t>NON FID</t>
  </si>
  <si>
    <t>min step 30% max</t>
  </si>
  <si>
    <t>GIPL</t>
  </si>
  <si>
    <t>LNG HR</t>
  </si>
  <si>
    <t>ABSOLUTE MONETIZATION</t>
  </si>
  <si>
    <t>AS+AW</t>
  </si>
  <si>
    <t>WEO CP</t>
  </si>
  <si>
    <t>Low</t>
  </si>
  <si>
    <t>High</t>
  </si>
  <si>
    <t>Infra</t>
  </si>
  <si>
    <t>Global context</t>
  </si>
  <si>
    <t>Climatic</t>
  </si>
  <si>
    <t>Prices config.</t>
  </si>
  <si>
    <t>in million euros on the year</t>
  </si>
  <si>
    <t xml:space="preserve">PROJECT IMPACT </t>
  </si>
  <si>
    <t>all Non-FID projects together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</si>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</sst>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4">
    <font>
      <sz val="12"/>
      <color theme="1"/>
      <name val="Calibri (Body)"/>
      <family val="2"/>
    </font>
    <font>
      <b/>
      <sz val="12"/>
      <color theme="1"/>
      <name val="Calibri (Body)"/>
    </font>
    <font>
      <sz val="12"/>
      <color theme="1"/>
      <name val="Calibri (Body)"/>
      <family val="2"/>
    </font>
    <font>
      <sz val="12"/>
      <color theme="1"/>
      <name val="Calibri (Body)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6">
    <xf numFmtId="0" fontId="0" fillId="0" borderId="0" xfId="0"/>
    <xf numFmtId="0" fontId="1" fillId="0" borderId="0" xfId="0" applyFont="1"/>
    <xf numFmtId="164" fontId="0" fillId="0" borderId="0" xfId="1" applyNumberFormat="1" applyFont="1"/>
    <xf numFmtId="0" fontId="0" fillId="2" borderId="0" xfId="0" applyFill="1"/>
    <xf numFmtId="164" fontId="0" fillId="2" borderId="0" xfId="1" applyNumberFormat="1" applyFont="1" applyFill="1"/>
    <xf numFmtId="0" fontId="0" fillId="3" borderId="0" xfId="0" applyFill="1"/>
    <xf numFmtId="164" fontId="0" fillId="3" borderId="0" xfId="1" applyNumberFormat="1" applyFont="1" applyFill="1"/>
    <xf numFmtId="0" fontId="1" fillId="3" borderId="0" xfId="0" applyFont="1" applyFill="1"/>
    <xf numFmtId="164" fontId="1" fillId="2" borderId="0" xfId="1" applyNumberFormat="1" applyFont="1" applyFill="1"/>
    <xf numFmtId="0" fontId="1" fillId="2" borderId="0" xfId="0" applyFont="1" applyFill="1"/>
    <xf numFmtId="164" fontId="1" fillId="3" borderId="0" xfId="1" applyNumberFormat="1" applyFont="1" applyFill="1"/>
    <xf numFmtId="0" fontId="1" fillId="4" borderId="0" xfId="0" applyFont="1" applyFill="1"/>
    <xf numFmtId="0" fontId="0" fillId="4" borderId="0" xfId="0" applyFill="1"/>
    <xf numFmtId="0" fontId="1" fillId="3" borderId="0" xfId="0" quotePrefix="1" applyFont="1" applyFill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0" fontId="0" fillId="0" borderId="0" xfId="0" applyNumberFormat="1"/>
    <xf numFmtId="9" fontId="0" fillId="0" borderId="0" xfId="2" applyFont="1"/>
    <xf numFmtId="10" fontId="0" fillId="0" borderId="0" xfId="2" applyNumberFormat="1" applyFont="1"/>
    <xf numFmtId="0" fontId="1" fillId="0" borderId="0" xfId="0" applyFont="1" applyFill="1"/>
    <xf numFmtId="3" fontId="0" fillId="3" borderId="0" xfId="0" applyNumberFormat="1" applyFill="1"/>
    <xf numFmtId="3" fontId="0" fillId="0" borderId="0" xfId="0" applyNumberFormat="1"/>
    <xf numFmtId="3" fontId="1" fillId="2" borderId="0" xfId="0" applyNumberFormat="1" applyFont="1" applyFill="1"/>
    <xf numFmtId="3" fontId="0" fillId="0" borderId="0" xfId="1" applyNumberFormat="1" applyFont="1"/>
    <xf numFmtId="3" fontId="0" fillId="5" borderId="0" xfId="0" applyNumberFormat="1" applyFill="1"/>
    <xf numFmtId="3" fontId="0" fillId="6" borderId="0" xfId="0" applyNumberFormat="1" applyFill="1"/>
    <xf numFmtId="165" fontId="0" fillId="0" borderId="0" xfId="0" applyNumberFormat="1"/>
    <xf numFmtId="3" fontId="0" fillId="0" borderId="0" xfId="0" applyNumberFormat="1" applyFill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Fill="1"/>
    <xf numFmtId="3" fontId="0" fillId="0" borderId="0" xfId="1" applyNumberFormat="1" applyFont="1" applyFill="1"/>
    <xf numFmtId="0" fontId="1" fillId="0" borderId="0" xfId="0" applyFont="1" applyAlignment="1">
      <alignment horizontal="center"/>
    </xf>
    <xf numFmtId="2" fontId="0" fillId="0" borderId="0" xfId="0" applyNumberFormat="1"/>
    <xf numFmtId="2" fontId="1" fillId="0" borderId="0" xfId="0" applyNumberFormat="1" applyFont="1"/>
    <xf numFmtId="2" fontId="0" fillId="5" borderId="0" xfId="0" applyNumberFormat="1" applyFill="1"/>
    <xf numFmtId="2" fontId="0" fillId="0" borderId="0" xfId="0" applyNumberFormat="1" applyFill="1"/>
    <xf numFmtId="2" fontId="0" fillId="3" borderId="0" xfId="0" applyNumberFormat="1" applyFill="1"/>
    <xf numFmtId="164" fontId="0" fillId="5" borderId="0" xfId="1" applyNumberFormat="1" applyFont="1" applyFill="1"/>
    <xf numFmtId="0" fontId="0" fillId="5" borderId="0" xfId="0" applyFill="1"/>
    <xf numFmtId="164" fontId="0" fillId="0" borderId="0" xfId="0" applyNumberFormat="1"/>
    <xf numFmtId="0" fontId="0" fillId="0" borderId="0" xfId="0" applyFill="1"/>
    <xf numFmtId="164" fontId="0" fillId="0" borderId="0" xfId="1" applyNumberFormat="1" applyFont="1" applyFill="1"/>
    <xf numFmtId="43" fontId="0" fillId="0" borderId="0" xfId="1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1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164" fontId="1" fillId="5" borderId="0" xfId="1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0" applyFont="1" applyFill="1"/>
    <xf numFmtId="0" fontId="0" fillId="0" borderId="0" xfId="0" applyAlignment="1"/>
    <xf numFmtId="164" fontId="0" fillId="5" borderId="0" xfId="1" applyNumberFormat="1" applyFont="1" applyFill="1" applyAlignment="1">
      <alignment horizontal="center"/>
    </xf>
    <xf numFmtId="164" fontId="0" fillId="3" borderId="0" xfId="1" applyNumberFormat="1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226" Type="http://schemas.openxmlformats.org/officeDocument/2006/relationships/externalLink" Target="externalLinks/externalLink211.xml"/><Relationship Id="rId247" Type="http://schemas.openxmlformats.org/officeDocument/2006/relationships/externalLink" Target="externalLinks/externalLink232.xml"/><Relationship Id="rId107" Type="http://schemas.openxmlformats.org/officeDocument/2006/relationships/externalLink" Target="externalLinks/externalLink92.xml"/><Relationship Id="rId268" Type="http://schemas.openxmlformats.org/officeDocument/2006/relationships/externalLink" Target="externalLinks/externalLink25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externalLink" Target="externalLinks/externalLink201.xml"/><Relationship Id="rId237" Type="http://schemas.openxmlformats.org/officeDocument/2006/relationships/externalLink" Target="externalLinks/externalLink222.xml"/><Relationship Id="rId258" Type="http://schemas.openxmlformats.org/officeDocument/2006/relationships/externalLink" Target="externalLinks/externalLink243.xml"/><Relationship Id="rId279" Type="http://schemas.openxmlformats.org/officeDocument/2006/relationships/sharedStrings" Target="sharedStrings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227" Type="http://schemas.openxmlformats.org/officeDocument/2006/relationships/externalLink" Target="externalLinks/externalLink212.xml"/><Relationship Id="rId248" Type="http://schemas.openxmlformats.org/officeDocument/2006/relationships/externalLink" Target="externalLinks/externalLink233.xml"/><Relationship Id="rId269" Type="http://schemas.openxmlformats.org/officeDocument/2006/relationships/externalLink" Target="externalLinks/externalLink254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280" Type="http://schemas.openxmlformats.org/officeDocument/2006/relationships/calcChain" Target="calcChain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externalLink" Target="externalLinks/externalLink202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3.xml"/><Relationship Id="rId259" Type="http://schemas.openxmlformats.org/officeDocument/2006/relationships/externalLink" Target="externalLinks/externalLink244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270" Type="http://schemas.openxmlformats.org/officeDocument/2006/relationships/externalLink" Target="externalLinks/externalLink255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2" Type="http://schemas.openxmlformats.org/officeDocument/2006/relationships/externalLink" Target="externalLinks/externalLink187.xml"/><Relationship Id="rId207" Type="http://schemas.openxmlformats.org/officeDocument/2006/relationships/externalLink" Target="externalLinks/externalLink192.xml"/><Relationship Id="rId223" Type="http://schemas.openxmlformats.org/officeDocument/2006/relationships/externalLink" Target="externalLinks/externalLink208.xml"/><Relationship Id="rId228" Type="http://schemas.openxmlformats.org/officeDocument/2006/relationships/externalLink" Target="externalLinks/externalLink213.xml"/><Relationship Id="rId244" Type="http://schemas.openxmlformats.org/officeDocument/2006/relationships/externalLink" Target="externalLinks/externalLink229.xml"/><Relationship Id="rId249" Type="http://schemas.openxmlformats.org/officeDocument/2006/relationships/externalLink" Target="externalLinks/externalLink234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109" Type="http://schemas.openxmlformats.org/officeDocument/2006/relationships/externalLink" Target="externalLinks/externalLink94.xml"/><Relationship Id="rId260" Type="http://schemas.openxmlformats.org/officeDocument/2006/relationships/externalLink" Target="externalLinks/externalLink245.xml"/><Relationship Id="rId265" Type="http://schemas.openxmlformats.org/officeDocument/2006/relationships/externalLink" Target="externalLinks/externalLink250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04" Type="http://schemas.openxmlformats.org/officeDocument/2006/relationships/externalLink" Target="externalLinks/externalLink89.xml"/><Relationship Id="rId120" Type="http://schemas.openxmlformats.org/officeDocument/2006/relationships/externalLink" Target="externalLinks/externalLink105.xml"/><Relationship Id="rId125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26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3" Type="http://schemas.openxmlformats.org/officeDocument/2006/relationships/externalLink" Target="externalLinks/externalLink198.xml"/><Relationship Id="rId218" Type="http://schemas.openxmlformats.org/officeDocument/2006/relationships/externalLink" Target="externalLinks/externalLink203.xml"/><Relationship Id="rId234" Type="http://schemas.openxmlformats.org/officeDocument/2006/relationships/externalLink" Target="externalLinks/externalLink219.xml"/><Relationship Id="rId239" Type="http://schemas.openxmlformats.org/officeDocument/2006/relationships/externalLink" Target="externalLinks/externalLink22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50" Type="http://schemas.openxmlformats.org/officeDocument/2006/relationships/externalLink" Target="externalLinks/externalLink235.xml"/><Relationship Id="rId255" Type="http://schemas.openxmlformats.org/officeDocument/2006/relationships/externalLink" Target="externalLinks/externalLink240.xml"/><Relationship Id="rId271" Type="http://schemas.openxmlformats.org/officeDocument/2006/relationships/externalLink" Target="externalLinks/externalLink256.xml"/><Relationship Id="rId276" Type="http://schemas.openxmlformats.org/officeDocument/2006/relationships/externalLink" Target="externalLinks/externalLink261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208" Type="http://schemas.openxmlformats.org/officeDocument/2006/relationships/externalLink" Target="externalLinks/externalLink193.xml"/><Relationship Id="rId229" Type="http://schemas.openxmlformats.org/officeDocument/2006/relationships/externalLink" Target="externalLinks/externalLink214.xml"/><Relationship Id="rId19" Type="http://schemas.openxmlformats.org/officeDocument/2006/relationships/externalLink" Target="externalLinks/externalLink4.xml"/><Relationship Id="rId224" Type="http://schemas.openxmlformats.org/officeDocument/2006/relationships/externalLink" Target="externalLinks/externalLink209.xml"/><Relationship Id="rId240" Type="http://schemas.openxmlformats.org/officeDocument/2006/relationships/externalLink" Target="externalLinks/externalLink225.xml"/><Relationship Id="rId245" Type="http://schemas.openxmlformats.org/officeDocument/2006/relationships/externalLink" Target="externalLinks/externalLink230.xml"/><Relationship Id="rId261" Type="http://schemas.openxmlformats.org/officeDocument/2006/relationships/externalLink" Target="externalLinks/externalLink246.xml"/><Relationship Id="rId266" Type="http://schemas.openxmlformats.org/officeDocument/2006/relationships/externalLink" Target="externalLinks/externalLink251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openxmlformats.org/officeDocument/2006/relationships/externalLink" Target="externalLinks/externalLink20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30" Type="http://schemas.openxmlformats.org/officeDocument/2006/relationships/externalLink" Target="externalLinks/externalLink215.xml"/><Relationship Id="rId235" Type="http://schemas.openxmlformats.org/officeDocument/2006/relationships/externalLink" Target="externalLinks/externalLink220.xml"/><Relationship Id="rId251" Type="http://schemas.openxmlformats.org/officeDocument/2006/relationships/externalLink" Target="externalLinks/externalLink236.xml"/><Relationship Id="rId256" Type="http://schemas.openxmlformats.org/officeDocument/2006/relationships/externalLink" Target="externalLinks/externalLink241.xml"/><Relationship Id="rId277" Type="http://schemas.openxmlformats.org/officeDocument/2006/relationships/theme" Target="theme/theme1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72" Type="http://schemas.openxmlformats.org/officeDocument/2006/relationships/externalLink" Target="externalLinks/externalLink257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externalLink" Target="externalLinks/externalLink205.xml"/><Relationship Id="rId225" Type="http://schemas.openxmlformats.org/officeDocument/2006/relationships/externalLink" Target="externalLinks/externalLink210.xml"/><Relationship Id="rId241" Type="http://schemas.openxmlformats.org/officeDocument/2006/relationships/externalLink" Target="externalLinks/externalLink226.xml"/><Relationship Id="rId246" Type="http://schemas.openxmlformats.org/officeDocument/2006/relationships/externalLink" Target="externalLinks/externalLink231.xml"/><Relationship Id="rId267" Type="http://schemas.openxmlformats.org/officeDocument/2006/relationships/externalLink" Target="externalLinks/externalLink252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262" Type="http://schemas.openxmlformats.org/officeDocument/2006/relationships/externalLink" Target="externalLinks/externalLink2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36" Type="http://schemas.openxmlformats.org/officeDocument/2006/relationships/externalLink" Target="externalLinks/externalLink221.xml"/><Relationship Id="rId257" Type="http://schemas.openxmlformats.org/officeDocument/2006/relationships/externalLink" Target="externalLinks/externalLink242.xml"/><Relationship Id="rId278" Type="http://schemas.openxmlformats.org/officeDocument/2006/relationships/styles" Target="styles.xml"/><Relationship Id="rId26" Type="http://schemas.openxmlformats.org/officeDocument/2006/relationships/externalLink" Target="externalLinks/externalLink11.xml"/><Relationship Id="rId231" Type="http://schemas.openxmlformats.org/officeDocument/2006/relationships/externalLink" Target="externalLinks/externalLink216.xml"/><Relationship Id="rId252" Type="http://schemas.openxmlformats.org/officeDocument/2006/relationships/externalLink" Target="externalLinks/externalLink237.xml"/><Relationship Id="rId273" Type="http://schemas.openxmlformats.org/officeDocument/2006/relationships/externalLink" Target="externalLinks/externalLink258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externalLink" Target="externalLinks/externalLink206.xml"/><Relationship Id="rId242" Type="http://schemas.openxmlformats.org/officeDocument/2006/relationships/externalLink" Target="externalLinks/externalLink227.xml"/><Relationship Id="rId263" Type="http://schemas.openxmlformats.org/officeDocument/2006/relationships/externalLink" Target="externalLinks/externalLink248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32" Type="http://schemas.openxmlformats.org/officeDocument/2006/relationships/externalLink" Target="externalLinks/externalLink217.xml"/><Relationship Id="rId253" Type="http://schemas.openxmlformats.org/officeDocument/2006/relationships/externalLink" Target="externalLinks/externalLink238.xml"/><Relationship Id="rId274" Type="http://schemas.openxmlformats.org/officeDocument/2006/relationships/externalLink" Target="externalLinks/externalLink259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externalLink" Target="externalLinks/externalLink207.xml"/><Relationship Id="rId243" Type="http://schemas.openxmlformats.org/officeDocument/2006/relationships/externalLink" Target="externalLinks/externalLink228.xml"/><Relationship Id="rId264" Type="http://schemas.openxmlformats.org/officeDocument/2006/relationships/externalLink" Target="externalLinks/externalLink249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33" Type="http://schemas.openxmlformats.org/officeDocument/2006/relationships/externalLink" Target="externalLinks/externalLink218.xml"/><Relationship Id="rId254" Type="http://schemas.openxmlformats.org/officeDocument/2006/relationships/externalLink" Target="externalLinks/externalLink239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275" Type="http://schemas.openxmlformats.org/officeDocument/2006/relationships/externalLink" Target="externalLinks/externalLink260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green'!$K$49:$K$55</c:f>
              <c:numCache>
                <c:formatCode>General</c:formatCode>
                <c:ptCount val="7"/>
                <c:pt idx="0">
                  <c:v>3642</c:v>
                </c:pt>
                <c:pt idx="1">
                  <c:v>3360</c:v>
                </c:pt>
                <c:pt idx="2">
                  <c:v>3128</c:v>
                </c:pt>
                <c:pt idx="3">
                  <c:v>3263</c:v>
                </c:pt>
                <c:pt idx="4">
                  <c:v>3517</c:v>
                </c:pt>
                <c:pt idx="5">
                  <c:v>3642</c:v>
                </c:pt>
                <c:pt idx="6">
                  <c:v>3595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green'!$K$56:$K$62</c:f>
              <c:numCache>
                <c:formatCode>General</c:formatCode>
                <c:ptCount val="7"/>
                <c:pt idx="0">
                  <c:v>2928</c:v>
                </c:pt>
                <c:pt idx="1">
                  <c:v>2688</c:v>
                </c:pt>
                <c:pt idx="2">
                  <c:v>2606</c:v>
                </c:pt>
                <c:pt idx="3">
                  <c:v>2826</c:v>
                </c:pt>
                <c:pt idx="4">
                  <c:v>2913</c:v>
                </c:pt>
                <c:pt idx="5">
                  <c:v>2928</c:v>
                </c:pt>
                <c:pt idx="6">
                  <c:v>2893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39072"/>
        <c:axId val="169096320"/>
      </c:barChart>
      <c:catAx>
        <c:axId val="164339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096320"/>
        <c:crosses val="autoZero"/>
        <c:auto val="1"/>
        <c:lblAlgn val="ctr"/>
        <c:lblOffset val="100"/>
        <c:noMultiLvlLbl val="0"/>
      </c:catAx>
      <c:valAx>
        <c:axId val="1690963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UGS injection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339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green'!$AO$50:$AU$50</c:f>
              <c:numCache>
                <c:formatCode>General</c:formatCode>
                <c:ptCount val="7"/>
                <c:pt idx="0">
                  <c:v>1.0106367500392841</c:v>
                </c:pt>
                <c:pt idx="1">
                  <c:v>1.1370706030854847</c:v>
                </c:pt>
                <c:pt idx="2">
                  <c:v>1.0495577094998352</c:v>
                </c:pt>
                <c:pt idx="3">
                  <c:v>1.1000000000000008</c:v>
                </c:pt>
                <c:pt idx="4">
                  <c:v>1.0448456310853147</c:v>
                </c:pt>
                <c:pt idx="5">
                  <c:v>1.0965571291480409</c:v>
                </c:pt>
                <c:pt idx="6">
                  <c:v>1.0782547530722872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green'!$AO$57:$AU$57</c:f>
              <c:numCache>
                <c:formatCode>General</c:formatCode>
                <c:ptCount val="7"/>
                <c:pt idx="0">
                  <c:v>1.0178783909904008</c:v>
                </c:pt>
                <c:pt idx="1">
                  <c:v>1.2254947039493596</c:v>
                </c:pt>
                <c:pt idx="2">
                  <c:v>1.0991154189996706</c:v>
                </c:pt>
                <c:pt idx="3">
                  <c:v>1.1000000000000003</c:v>
                </c:pt>
                <c:pt idx="4">
                  <c:v>1.0950261018899561</c:v>
                </c:pt>
                <c:pt idx="5">
                  <c:v>1.0965571291480412</c:v>
                </c:pt>
                <c:pt idx="6">
                  <c:v>1.1499187634009351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53056"/>
        <c:axId val="169454592"/>
      </c:barChart>
      <c:catAx>
        <c:axId val="169453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454592"/>
        <c:crosses val="autoZero"/>
        <c:auto val="1"/>
        <c:lblAlgn val="ctr"/>
        <c:lblOffset val="100"/>
        <c:noMultiLvlLbl val="0"/>
      </c:catAx>
      <c:valAx>
        <c:axId val="16945459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No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453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2x1000 intermediate vs gre'!$S$48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gre'!$S$56:$S$62</c:f>
              <c:numCache>
                <c:formatCode>General</c:formatCode>
                <c:ptCount val="7"/>
                <c:pt idx="0">
                  <c:v>6128.0000000000027</c:v>
                </c:pt>
                <c:pt idx="1">
                  <c:v>6128.0000000000073</c:v>
                </c:pt>
                <c:pt idx="2">
                  <c:v>6128.0000000000027</c:v>
                </c:pt>
                <c:pt idx="3">
                  <c:v>6128.0000000000073</c:v>
                </c:pt>
                <c:pt idx="4">
                  <c:v>6128.0000000000082</c:v>
                </c:pt>
                <c:pt idx="5">
                  <c:v>6128.0000000000027</c:v>
                </c:pt>
                <c:pt idx="6">
                  <c:v>6128.0000000000018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gre'!$M$56:$M$62</c:f>
              <c:numCache>
                <c:formatCode>General</c:formatCode>
                <c:ptCount val="7"/>
                <c:pt idx="0">
                  <c:v>5089.2924710424713</c:v>
                </c:pt>
                <c:pt idx="1">
                  <c:v>6123.9999999999991</c:v>
                </c:pt>
                <c:pt idx="2">
                  <c:v>4714.7242277992282</c:v>
                </c:pt>
                <c:pt idx="3">
                  <c:v>4500.6852316602317</c:v>
                </c:pt>
                <c:pt idx="4">
                  <c:v>4928.7632239382237</c:v>
                </c:pt>
                <c:pt idx="5">
                  <c:v>5089.2924710424713</c:v>
                </c:pt>
                <c:pt idx="6">
                  <c:v>5062.2115152123506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gre'!$N$56:$N$62</c:f>
              <c:numCache>
                <c:formatCode>General</c:formatCode>
                <c:ptCount val="7"/>
                <c:pt idx="0">
                  <c:v>9583.2939476447827</c:v>
                </c:pt>
                <c:pt idx="1">
                  <c:v>9293.3254826254815</c:v>
                </c:pt>
                <c:pt idx="2">
                  <c:v>11504.000000000002</c:v>
                </c:pt>
                <c:pt idx="3">
                  <c:v>8535.4004746718092</c:v>
                </c:pt>
                <c:pt idx="4">
                  <c:v>9312.0401111567116</c:v>
                </c:pt>
                <c:pt idx="5">
                  <c:v>9575.878407104241</c:v>
                </c:pt>
                <c:pt idx="6">
                  <c:v>9489.5718146718136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gre'!$O$56:$O$62</c:f>
              <c:numCache>
                <c:formatCode>General</c:formatCode>
                <c:ptCount val="7"/>
                <c:pt idx="0">
                  <c:v>8833.0024131274131</c:v>
                </c:pt>
                <c:pt idx="1">
                  <c:v>8412.1389109652464</c:v>
                </c:pt>
                <c:pt idx="2">
                  <c:v>7851.835183397684</c:v>
                </c:pt>
                <c:pt idx="3">
                  <c:v>11210</c:v>
                </c:pt>
                <c:pt idx="4">
                  <c:v>8450.9295913143214</c:v>
                </c:pt>
                <c:pt idx="5">
                  <c:v>8833.0024131274131</c:v>
                </c:pt>
                <c:pt idx="6">
                  <c:v>8833.0024131274131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gre'!$P$56:$P$62</c:f>
              <c:numCache>
                <c:formatCode>General</c:formatCode>
                <c:ptCount val="7"/>
                <c:pt idx="0">
                  <c:v>2324.278957528958</c:v>
                </c:pt>
                <c:pt idx="1">
                  <c:v>2088.7750965250971</c:v>
                </c:pt>
                <c:pt idx="2">
                  <c:v>1877.4232256370578</c:v>
                </c:pt>
                <c:pt idx="3">
                  <c:v>1725.1335135135137</c:v>
                </c:pt>
                <c:pt idx="4">
                  <c:v>3220.0000000000009</c:v>
                </c:pt>
                <c:pt idx="5">
                  <c:v>2324.278957528958</c:v>
                </c:pt>
                <c:pt idx="6">
                  <c:v>2324.278957528958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gre'!$R$56:$R$62</c:f>
              <c:numCache>
                <c:formatCode>General</c:formatCode>
                <c:ptCount val="7"/>
                <c:pt idx="0">
                  <c:v>520.58445945945937</c:v>
                </c:pt>
                <c:pt idx="1">
                  <c:v>518.72601351351352</c:v>
                </c:pt>
                <c:pt idx="2">
                  <c:v>515.0091216216216</c:v>
                </c:pt>
                <c:pt idx="3">
                  <c:v>511.29222972972968</c:v>
                </c:pt>
                <c:pt idx="4">
                  <c:v>518.72601351351352</c:v>
                </c:pt>
                <c:pt idx="5">
                  <c:v>528</c:v>
                </c:pt>
                <c:pt idx="6">
                  <c:v>520.58445945945937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gre'!$Q$56:$Q$62</c:f>
              <c:numCache>
                <c:formatCode>General</c:formatCode>
                <c:ptCount val="7"/>
                <c:pt idx="0">
                  <c:v>551.19691119691106</c:v>
                </c:pt>
                <c:pt idx="1">
                  <c:v>525.17065637065639</c:v>
                </c:pt>
                <c:pt idx="2">
                  <c:v>499.14440154440149</c:v>
                </c:pt>
                <c:pt idx="3">
                  <c:v>479.62471042471043</c:v>
                </c:pt>
                <c:pt idx="4">
                  <c:v>531.67722007722</c:v>
                </c:pt>
                <c:pt idx="5">
                  <c:v>551.19691119691106</c:v>
                </c:pt>
                <c:pt idx="6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938752"/>
        <c:axId val="174944640"/>
      </c:barChart>
      <c:catAx>
        <c:axId val="17493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944640"/>
        <c:crosses val="autoZero"/>
        <c:auto val="1"/>
        <c:lblAlgn val="ctr"/>
        <c:lblOffset val="100"/>
        <c:noMultiLvlLbl val="0"/>
      </c:catAx>
      <c:valAx>
        <c:axId val="1749446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4938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2x1000 intermediate vs gre'!$AK$48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gre'!$AK$56:$AK$62</c:f>
              <c:numCache>
                <c:formatCode>General</c:formatCode>
                <c:ptCount val="7"/>
                <c:pt idx="0">
                  <c:v>3359.8510437095965</c:v>
                </c:pt>
                <c:pt idx="1">
                  <c:v>3359.851043709602</c:v>
                </c:pt>
                <c:pt idx="2">
                  <c:v>3359.8510437095974</c:v>
                </c:pt>
                <c:pt idx="3">
                  <c:v>3359.8510437096029</c:v>
                </c:pt>
                <c:pt idx="4">
                  <c:v>3359.8510437096002</c:v>
                </c:pt>
                <c:pt idx="5">
                  <c:v>3359.8510437095988</c:v>
                </c:pt>
                <c:pt idx="6">
                  <c:v>3359.8510437095952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gre'!$AG$56:$AG$62</c:f>
              <c:numCache>
                <c:formatCode>General</c:formatCode>
                <c:ptCount val="7"/>
                <c:pt idx="0">
                  <c:v>2758.6852316602317</c:v>
                </c:pt>
                <c:pt idx="1">
                  <c:v>3368.2000000000003</c:v>
                </c:pt>
                <c:pt idx="2">
                  <c:v>2598.1559845559846</c:v>
                </c:pt>
                <c:pt idx="3">
                  <c:v>2491.1364864864868</c:v>
                </c:pt>
                <c:pt idx="4">
                  <c:v>2705.1754826254828</c:v>
                </c:pt>
                <c:pt idx="5">
                  <c:v>2758.6852316602317</c:v>
                </c:pt>
                <c:pt idx="6">
                  <c:v>2758.6852316602317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gre'!$AI$56:$AI$62</c:f>
              <c:numCache>
                <c:formatCode>General</c:formatCode>
                <c:ptCount val="7"/>
                <c:pt idx="0">
                  <c:v>5186.340154440154</c:v>
                </c:pt>
                <c:pt idx="1">
                  <c:v>5088.216988416988</c:v>
                </c:pt>
                <c:pt idx="2">
                  <c:v>6327.2000000000007</c:v>
                </c:pt>
                <c:pt idx="3">
                  <c:v>4695.7243243243238</c:v>
                </c:pt>
                <c:pt idx="4">
                  <c:v>5088.216988416988</c:v>
                </c:pt>
                <c:pt idx="5">
                  <c:v>5186.340154440154</c:v>
                </c:pt>
                <c:pt idx="6">
                  <c:v>5186.340154440154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gre'!$AM$56:$AM$62</c:f>
              <c:numCache>
                <c:formatCode>General</c:formatCode>
                <c:ptCount val="7"/>
                <c:pt idx="0">
                  <c:v>4977.1681949806953</c:v>
                </c:pt>
                <c:pt idx="1">
                  <c:v>4836.6381870270225</c:v>
                </c:pt>
                <c:pt idx="2">
                  <c:v>4556.667953667954</c:v>
                </c:pt>
                <c:pt idx="3">
                  <c:v>6165</c:v>
                </c:pt>
                <c:pt idx="4">
                  <c:v>4837.0014478764479</c:v>
                </c:pt>
                <c:pt idx="5">
                  <c:v>4977.1681949806953</c:v>
                </c:pt>
                <c:pt idx="6">
                  <c:v>4977.1681949806953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gre'!$AC$56:$AC$62</c:f>
              <c:numCache>
                <c:formatCode>General</c:formatCode>
                <c:ptCount val="7"/>
                <c:pt idx="0">
                  <c:v>1397.64333976834</c:v>
                </c:pt>
                <c:pt idx="1">
                  <c:v>1279.8914092664095</c:v>
                </c:pt>
                <c:pt idx="2">
                  <c:v>1186.291468880301</c:v>
                </c:pt>
                <c:pt idx="3">
                  <c:v>1103.2635135135135</c:v>
                </c:pt>
                <c:pt idx="4">
                  <c:v>1710.95</c:v>
                </c:pt>
                <c:pt idx="5">
                  <c:v>1397.64333976834</c:v>
                </c:pt>
                <c:pt idx="6">
                  <c:v>1397.64333976834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gre'!$AA$56:$AA$62</c:f>
              <c:numCache>
                <c:formatCode>General</c:formatCode>
                <c:ptCount val="7"/>
                <c:pt idx="0">
                  <c:v>264</c:v>
                </c:pt>
                <c:pt idx="1">
                  <c:v>264</c:v>
                </c:pt>
                <c:pt idx="2">
                  <c:v>264</c:v>
                </c:pt>
                <c:pt idx="3">
                  <c:v>264</c:v>
                </c:pt>
                <c:pt idx="4">
                  <c:v>264</c:v>
                </c:pt>
                <c:pt idx="5">
                  <c:v>264</c:v>
                </c:pt>
                <c:pt idx="6">
                  <c:v>264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gre'!$AE$56:$AE$62</c:f>
              <c:numCache>
                <c:formatCode>General</c:formatCode>
                <c:ptCount val="7"/>
                <c:pt idx="0">
                  <c:v>301.62471042471037</c:v>
                </c:pt>
                <c:pt idx="1">
                  <c:v>288.61158301158298</c:v>
                </c:pt>
                <c:pt idx="2">
                  <c:v>275.59845559845559</c:v>
                </c:pt>
                <c:pt idx="3">
                  <c:v>269.09189189189186</c:v>
                </c:pt>
                <c:pt idx="4">
                  <c:v>295.1181467181467</c:v>
                </c:pt>
                <c:pt idx="5">
                  <c:v>301.62471042471037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2x1000 intermediate vs gre'!$K$48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2x1000 intermediate vs gre'!$K$56:$K$62</c:f>
              <c:numCache>
                <c:formatCode>General</c:formatCode>
                <c:ptCount val="7"/>
                <c:pt idx="0">
                  <c:v>2928</c:v>
                </c:pt>
                <c:pt idx="1">
                  <c:v>2688</c:v>
                </c:pt>
                <c:pt idx="2">
                  <c:v>2606</c:v>
                </c:pt>
                <c:pt idx="3">
                  <c:v>2826</c:v>
                </c:pt>
                <c:pt idx="4">
                  <c:v>2913</c:v>
                </c:pt>
                <c:pt idx="5">
                  <c:v>2928</c:v>
                </c:pt>
                <c:pt idx="6">
                  <c:v>2893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056768"/>
        <c:axId val="175058304"/>
      </c:barChart>
      <c:catAx>
        <c:axId val="17505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058304"/>
        <c:crosses val="autoZero"/>
        <c:auto val="1"/>
        <c:lblAlgn val="ctr"/>
        <c:lblOffset val="100"/>
        <c:noMultiLvlLbl val="0"/>
      </c:catAx>
      <c:valAx>
        <c:axId val="175058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056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2x1000 intermediate vs gre'!$AJ$48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gre'!$AJ$49:$AJ$55</c:f>
              <c:numCache>
                <c:formatCode>General</c:formatCode>
                <c:ptCount val="7"/>
                <c:pt idx="0">
                  <c:v>2768.1489562904076</c:v>
                </c:pt>
                <c:pt idx="1">
                  <c:v>2768.1489562904089</c:v>
                </c:pt>
                <c:pt idx="2">
                  <c:v>2768.148956290408</c:v>
                </c:pt>
                <c:pt idx="3">
                  <c:v>2768.1489562904067</c:v>
                </c:pt>
                <c:pt idx="4">
                  <c:v>2768.1489562904085</c:v>
                </c:pt>
                <c:pt idx="5">
                  <c:v>2768.1489562904071</c:v>
                </c:pt>
                <c:pt idx="6">
                  <c:v>2768.1489562904085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gre'!$AF$49:$AF$55</c:f>
              <c:numCache>
                <c:formatCode>General</c:formatCode>
                <c:ptCount val="7"/>
                <c:pt idx="0">
                  <c:v>2035.091163141994</c:v>
                </c:pt>
                <c:pt idx="1">
                  <c:v>2755.7999999999988</c:v>
                </c:pt>
                <c:pt idx="2">
                  <c:v>1783.8701661631419</c:v>
                </c:pt>
                <c:pt idx="3">
                  <c:v>1742</c:v>
                </c:pt>
                <c:pt idx="4">
                  <c:v>1951.35083081571</c:v>
                </c:pt>
                <c:pt idx="5">
                  <c:v>2035.091163141994</c:v>
                </c:pt>
                <c:pt idx="6">
                  <c:v>2030.1129706948616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gre'!$AH$49:$AH$55</c:f>
              <c:numCache>
                <c:formatCode>General</c:formatCode>
                <c:ptCount val="7"/>
                <c:pt idx="0">
                  <c:v>3859.4540785498489</c:v>
                </c:pt>
                <c:pt idx="1">
                  <c:v>3705.895770392749</c:v>
                </c:pt>
                <c:pt idx="2">
                  <c:v>5176.7999999999847</c:v>
                </c:pt>
                <c:pt idx="3">
                  <c:v>3322</c:v>
                </c:pt>
                <c:pt idx="4">
                  <c:v>3705.895770392749</c:v>
                </c:pt>
                <c:pt idx="5">
                  <c:v>3859.4540785498489</c:v>
                </c:pt>
                <c:pt idx="6">
                  <c:v>3782.6749244712987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gre'!$AL$49:$AL$55</c:f>
              <c:numCache>
                <c:formatCode>General</c:formatCode>
                <c:ptCount val="7"/>
                <c:pt idx="0">
                  <c:v>3081.7411253776436</c:v>
                </c:pt>
                <c:pt idx="1">
                  <c:v>2862.3865181268884</c:v>
                </c:pt>
                <c:pt idx="2">
                  <c:v>2423.6773036253776</c:v>
                </c:pt>
                <c:pt idx="3">
                  <c:v>4902.8843088693366</c:v>
                </c:pt>
                <c:pt idx="4">
                  <c:v>2862.3865181268884</c:v>
                </c:pt>
                <c:pt idx="5">
                  <c:v>3081.7411253776436</c:v>
                </c:pt>
                <c:pt idx="6">
                  <c:v>3081.7411253776436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gre'!$AB$49:$AB$55</c:f>
              <c:numCache>
                <c:formatCode>General</c:formatCode>
                <c:ptCount val="7"/>
                <c:pt idx="0">
                  <c:v>601.48376132930514</c:v>
                </c:pt>
                <c:pt idx="1">
                  <c:v>509.34554380664656</c:v>
                </c:pt>
                <c:pt idx="2">
                  <c:v>325.06910876132929</c:v>
                </c:pt>
                <c:pt idx="3">
                  <c:v>279</c:v>
                </c:pt>
                <c:pt idx="4">
                  <c:v>1509.049999999997</c:v>
                </c:pt>
                <c:pt idx="5">
                  <c:v>601.48376132930514</c:v>
                </c:pt>
                <c:pt idx="6">
                  <c:v>601.48376132930514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gre'!$Z$49:$Z$55</c:f>
              <c:numCache>
                <c:formatCode>General</c:formatCode>
                <c:ptCount val="7"/>
                <c:pt idx="0">
                  <c:v>248.17934290030209</c:v>
                </c:pt>
                <c:pt idx="1">
                  <c:v>245.27095921450149</c:v>
                </c:pt>
                <c:pt idx="2">
                  <c:v>239.45419184290029</c:v>
                </c:pt>
                <c:pt idx="3">
                  <c:v>238</c:v>
                </c:pt>
                <c:pt idx="4">
                  <c:v>245.27095921450149</c:v>
                </c:pt>
                <c:pt idx="5">
                  <c:v>264</c:v>
                </c:pt>
                <c:pt idx="6">
                  <c:v>246.7251510574018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gre'!$AD$49:$AD$55</c:f>
              <c:numCache>
                <c:formatCode>General</c:formatCode>
                <c:ptCount val="7"/>
                <c:pt idx="0">
                  <c:v>213.63867069486403</c:v>
                </c:pt>
                <c:pt idx="1">
                  <c:v>203.4561933534743</c:v>
                </c:pt>
                <c:pt idx="2">
                  <c:v>183.09123867069485</c:v>
                </c:pt>
                <c:pt idx="3">
                  <c:v>178</c:v>
                </c:pt>
                <c:pt idx="4">
                  <c:v>203.4561933534743</c:v>
                </c:pt>
                <c:pt idx="5">
                  <c:v>213.63867069486403</c:v>
                </c:pt>
                <c:pt idx="6">
                  <c:v>335.70000000000067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117440"/>
        <c:axId val="175118976"/>
      </c:barChart>
      <c:catAx>
        <c:axId val="17511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118976"/>
        <c:crosses val="autoZero"/>
        <c:auto val="1"/>
        <c:lblAlgn val="ctr"/>
        <c:lblOffset val="100"/>
        <c:noMultiLvlLbl val="0"/>
      </c:catAx>
      <c:valAx>
        <c:axId val="175118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11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2x1000 intermediate vs gre'!$AK$48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gre'!$AK$49:$AK$55</c:f>
              <c:numCache>
                <c:formatCode>General</c:formatCode>
                <c:ptCount val="7"/>
                <c:pt idx="0">
                  <c:v>3359.8510437096002</c:v>
                </c:pt>
                <c:pt idx="1">
                  <c:v>2778.5468980902579</c:v>
                </c:pt>
                <c:pt idx="2">
                  <c:v>2768.1489562904053</c:v>
                </c:pt>
                <c:pt idx="3">
                  <c:v>2768.1489562904076</c:v>
                </c:pt>
                <c:pt idx="4">
                  <c:v>2822.1578504076379</c:v>
                </c:pt>
                <c:pt idx="5">
                  <c:v>3359.8510437095929</c:v>
                </c:pt>
                <c:pt idx="6">
                  <c:v>3359.8510437095933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gre'!$AG$49:$AG$55</c:f>
              <c:numCache>
                <c:formatCode>General</c:formatCode>
                <c:ptCount val="7"/>
                <c:pt idx="0">
                  <c:v>2370.0524924471301</c:v>
                </c:pt>
                <c:pt idx="1">
                  <c:v>3368.2000000000003</c:v>
                </c:pt>
                <c:pt idx="2">
                  <c:v>2118.8314954682778</c:v>
                </c:pt>
                <c:pt idx="3">
                  <c:v>1867.6104984894259</c:v>
                </c:pt>
                <c:pt idx="4">
                  <c:v>2286.3121601208459</c:v>
                </c:pt>
                <c:pt idx="5">
                  <c:v>2370.0524924471301</c:v>
                </c:pt>
                <c:pt idx="6">
                  <c:v>2370.0524924471301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gre'!$AI$49:$AI$55</c:f>
              <c:numCache>
                <c:formatCode>General</c:formatCode>
                <c:ptCount val="7"/>
                <c:pt idx="0">
                  <c:v>4473.687311178247</c:v>
                </c:pt>
                <c:pt idx="1">
                  <c:v>4320.1290030211476</c:v>
                </c:pt>
                <c:pt idx="2">
                  <c:v>6327.2000000000007</c:v>
                </c:pt>
                <c:pt idx="3">
                  <c:v>3552.3374622356496</c:v>
                </c:pt>
                <c:pt idx="4">
                  <c:v>4320.1290030211476</c:v>
                </c:pt>
                <c:pt idx="5">
                  <c:v>4473.687311178247</c:v>
                </c:pt>
                <c:pt idx="6">
                  <c:v>4473.687311178247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gre'!$AM$49:$AM$55</c:f>
              <c:numCache>
                <c:formatCode>General</c:formatCode>
                <c:ptCount val="7"/>
                <c:pt idx="0">
                  <c:v>4033.871656495462</c:v>
                </c:pt>
                <c:pt idx="1">
                  <c:v>3739.8049471299091</c:v>
                </c:pt>
                <c:pt idx="2">
                  <c:v>3353.1515294131591</c:v>
                </c:pt>
                <c:pt idx="3">
                  <c:v>6165</c:v>
                </c:pt>
                <c:pt idx="4">
                  <c:v>3739.8049471299091</c:v>
                </c:pt>
                <c:pt idx="5">
                  <c:v>4013.8638770392768</c:v>
                </c:pt>
                <c:pt idx="6">
                  <c:v>3959.1595543806648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gre'!$AC$49:$AC$55</c:f>
              <c:numCache>
                <c:formatCode>General</c:formatCode>
                <c:ptCount val="7"/>
                <c:pt idx="0">
                  <c:v>1016.105740181269</c:v>
                </c:pt>
                <c:pt idx="1">
                  <c:v>877.89841389728099</c:v>
                </c:pt>
                <c:pt idx="2">
                  <c:v>693.62197885196383</c:v>
                </c:pt>
                <c:pt idx="3">
                  <c:v>417.20732628398792</c:v>
                </c:pt>
                <c:pt idx="4">
                  <c:v>1710.95</c:v>
                </c:pt>
                <c:pt idx="5">
                  <c:v>1016.105740181269</c:v>
                </c:pt>
                <c:pt idx="6">
                  <c:v>970.03663141993968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gre'!$AA$49:$AA$55</c:f>
              <c:numCache>
                <c:formatCode>General</c:formatCode>
                <c:ptCount val="7"/>
                <c:pt idx="0">
                  <c:v>259.81287764350452</c:v>
                </c:pt>
                <c:pt idx="1">
                  <c:v>256.90449395770389</c:v>
                </c:pt>
                <c:pt idx="2">
                  <c:v>251.08772658610269</c:v>
                </c:pt>
                <c:pt idx="3">
                  <c:v>242.36257552870089</c:v>
                </c:pt>
                <c:pt idx="4">
                  <c:v>256.90449395770389</c:v>
                </c:pt>
                <c:pt idx="5">
                  <c:v>264</c:v>
                </c:pt>
                <c:pt idx="6">
                  <c:v>259.81287764350452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gre'!$AE$49:$AE$55</c:f>
              <c:numCache>
                <c:formatCode>General</c:formatCode>
                <c:ptCount val="7"/>
                <c:pt idx="0">
                  <c:v>254.36858006042294</c:v>
                </c:pt>
                <c:pt idx="1">
                  <c:v>244.18610271903322</c:v>
                </c:pt>
                <c:pt idx="2">
                  <c:v>223.82114803625376</c:v>
                </c:pt>
                <c:pt idx="3">
                  <c:v>193.27371601208458</c:v>
                </c:pt>
                <c:pt idx="4">
                  <c:v>244.18610271903322</c:v>
                </c:pt>
                <c:pt idx="5">
                  <c:v>254.36858006042294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2x1000 intermediate vs gre'!$K$48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2x1000 intermediate vs gre'!$K$49:$K$55</c:f>
              <c:numCache>
                <c:formatCode>General</c:formatCode>
                <c:ptCount val="7"/>
                <c:pt idx="0">
                  <c:v>2250</c:v>
                </c:pt>
                <c:pt idx="1">
                  <c:v>2493</c:v>
                </c:pt>
                <c:pt idx="2">
                  <c:v>2343</c:v>
                </c:pt>
                <c:pt idx="3">
                  <c:v>2873</c:v>
                </c:pt>
                <c:pt idx="4">
                  <c:v>2688</c:v>
                </c:pt>
                <c:pt idx="5">
                  <c:v>2266</c:v>
                </c:pt>
                <c:pt idx="6">
                  <c:v>2290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243648"/>
        <c:axId val="175245184"/>
      </c:barChart>
      <c:catAx>
        <c:axId val="17524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245184"/>
        <c:crosses val="autoZero"/>
        <c:auto val="1"/>
        <c:lblAlgn val="ctr"/>
        <c:lblOffset val="100"/>
        <c:noMultiLvlLbl val="0"/>
      </c:catAx>
      <c:valAx>
        <c:axId val="175245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24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2x1000 intermediate vs gre'!$AJ$48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gre'!$AJ$56:$AJ$62</c:f>
              <c:numCache>
                <c:formatCode>General</c:formatCode>
                <c:ptCount val="7"/>
                <c:pt idx="0">
                  <c:v>2768.1489562904062</c:v>
                </c:pt>
                <c:pt idx="1">
                  <c:v>2768.1489562904053</c:v>
                </c:pt>
                <c:pt idx="2">
                  <c:v>2768.1489562904053</c:v>
                </c:pt>
                <c:pt idx="3">
                  <c:v>2768.1489562904044</c:v>
                </c:pt>
                <c:pt idx="4">
                  <c:v>2768.148956290408</c:v>
                </c:pt>
                <c:pt idx="5">
                  <c:v>2768.1489562904039</c:v>
                </c:pt>
                <c:pt idx="6">
                  <c:v>2768.1489562904067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gre'!$AF$56:$AF$62</c:f>
              <c:numCache>
                <c:formatCode>General</c:formatCode>
                <c:ptCount val="7"/>
                <c:pt idx="0">
                  <c:v>2330.6072393822396</c:v>
                </c:pt>
                <c:pt idx="1">
                  <c:v>2755.7999999999988</c:v>
                </c:pt>
                <c:pt idx="2">
                  <c:v>2116.5682432432432</c:v>
                </c:pt>
                <c:pt idx="3">
                  <c:v>2009.5487451737451</c:v>
                </c:pt>
                <c:pt idx="4">
                  <c:v>2223.5877413127414</c:v>
                </c:pt>
                <c:pt idx="5">
                  <c:v>2330.6072393822396</c:v>
                </c:pt>
                <c:pt idx="6">
                  <c:v>2303.5262835521189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gre'!$AH$56:$AH$62</c:f>
              <c:numCache>
                <c:formatCode>General</c:formatCode>
                <c:ptCount val="7"/>
                <c:pt idx="0">
                  <c:v>4396.9537932046287</c:v>
                </c:pt>
                <c:pt idx="1">
                  <c:v>4205.1084942084935</c:v>
                </c:pt>
                <c:pt idx="2">
                  <c:v>5176.8000000000011</c:v>
                </c:pt>
                <c:pt idx="3">
                  <c:v>3839.6761503474845</c:v>
                </c:pt>
                <c:pt idx="4">
                  <c:v>4223.8231227397246</c:v>
                </c:pt>
                <c:pt idx="5">
                  <c:v>4389.5382526640869</c:v>
                </c:pt>
                <c:pt idx="6">
                  <c:v>4303.2316602316596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gre'!$AL$56:$AL$62</c:f>
              <c:numCache>
                <c:formatCode>General</c:formatCode>
                <c:ptCount val="7"/>
                <c:pt idx="0">
                  <c:v>3855.8342181467183</c:v>
                </c:pt>
                <c:pt idx="1">
                  <c:v>3575.5007239382239</c:v>
                </c:pt>
                <c:pt idx="2">
                  <c:v>3295.16722972973</c:v>
                </c:pt>
                <c:pt idx="3">
                  <c:v>5045</c:v>
                </c:pt>
                <c:pt idx="4">
                  <c:v>3613.9281434378731</c:v>
                </c:pt>
                <c:pt idx="5">
                  <c:v>3855.8342181467183</c:v>
                </c:pt>
                <c:pt idx="6">
                  <c:v>3855.8342181467183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gre'!$AB$56:$AB$62</c:f>
              <c:numCache>
                <c:formatCode>General</c:formatCode>
                <c:ptCount val="7"/>
                <c:pt idx="0">
                  <c:v>926.63561776061783</c:v>
                </c:pt>
                <c:pt idx="1">
                  <c:v>808.88368725868736</c:v>
                </c:pt>
                <c:pt idx="2">
                  <c:v>691.13175675675677</c:v>
                </c:pt>
                <c:pt idx="3">
                  <c:v>621.87</c:v>
                </c:pt>
                <c:pt idx="4">
                  <c:v>1509.0500000000009</c:v>
                </c:pt>
                <c:pt idx="5">
                  <c:v>926.63561776061783</c:v>
                </c:pt>
                <c:pt idx="6">
                  <c:v>926.63561776061783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gre'!$Z$56:$Z$62</c:f>
              <c:numCache>
                <c:formatCode>General</c:formatCode>
                <c:ptCount val="7"/>
                <c:pt idx="0">
                  <c:v>256.58445945945942</c:v>
                </c:pt>
                <c:pt idx="1">
                  <c:v>254.72601351351349</c:v>
                </c:pt>
                <c:pt idx="2">
                  <c:v>251.0091216216216</c:v>
                </c:pt>
                <c:pt idx="3">
                  <c:v>247.29222972972971</c:v>
                </c:pt>
                <c:pt idx="4">
                  <c:v>254.72601351351349</c:v>
                </c:pt>
                <c:pt idx="5">
                  <c:v>264</c:v>
                </c:pt>
                <c:pt idx="6">
                  <c:v>256.58445945945942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gre'!$AD$56:$AD$62</c:f>
              <c:numCache>
                <c:formatCode>General</c:formatCode>
                <c:ptCount val="7"/>
                <c:pt idx="0">
                  <c:v>249.57220077220074</c:v>
                </c:pt>
                <c:pt idx="1">
                  <c:v>236.55907335907335</c:v>
                </c:pt>
                <c:pt idx="2">
                  <c:v>223.54594594594593</c:v>
                </c:pt>
                <c:pt idx="3">
                  <c:v>210.53281853281854</c:v>
                </c:pt>
                <c:pt idx="4">
                  <c:v>236.55907335907335</c:v>
                </c:pt>
                <c:pt idx="5">
                  <c:v>249.57220077220074</c:v>
                </c:pt>
                <c:pt idx="6">
                  <c:v>335.7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291392"/>
        <c:axId val="175297280"/>
      </c:barChart>
      <c:catAx>
        <c:axId val="17529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297280"/>
        <c:crosses val="autoZero"/>
        <c:auto val="1"/>
        <c:lblAlgn val="ctr"/>
        <c:lblOffset val="100"/>
        <c:noMultiLvlLbl val="0"/>
      </c:catAx>
      <c:valAx>
        <c:axId val="17529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29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2x1000 intermediate vs gre'!$AJ$48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gre'!$AJ$49:$AJ$55</c:f>
              <c:numCache>
                <c:formatCode>General</c:formatCode>
                <c:ptCount val="7"/>
                <c:pt idx="0">
                  <c:v>2768.1489562904076</c:v>
                </c:pt>
                <c:pt idx="1">
                  <c:v>2768.1489562904089</c:v>
                </c:pt>
                <c:pt idx="2">
                  <c:v>2768.148956290408</c:v>
                </c:pt>
                <c:pt idx="3">
                  <c:v>2768.1489562904067</c:v>
                </c:pt>
                <c:pt idx="4">
                  <c:v>2768.1489562904085</c:v>
                </c:pt>
                <c:pt idx="5">
                  <c:v>2768.1489562904071</c:v>
                </c:pt>
                <c:pt idx="6">
                  <c:v>2768.1489562904085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gre'!$AF$49:$AF$55</c:f>
              <c:numCache>
                <c:formatCode>General</c:formatCode>
                <c:ptCount val="7"/>
                <c:pt idx="0">
                  <c:v>2035.091163141994</c:v>
                </c:pt>
                <c:pt idx="1">
                  <c:v>2755.7999999999988</c:v>
                </c:pt>
                <c:pt idx="2">
                  <c:v>1783.8701661631419</c:v>
                </c:pt>
                <c:pt idx="3">
                  <c:v>1742</c:v>
                </c:pt>
                <c:pt idx="4">
                  <c:v>1951.35083081571</c:v>
                </c:pt>
                <c:pt idx="5">
                  <c:v>2035.091163141994</c:v>
                </c:pt>
                <c:pt idx="6">
                  <c:v>2030.1129706948616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gre'!$AH$49:$AH$55</c:f>
              <c:numCache>
                <c:formatCode>General</c:formatCode>
                <c:ptCount val="7"/>
                <c:pt idx="0">
                  <c:v>3859.4540785498489</c:v>
                </c:pt>
                <c:pt idx="1">
                  <c:v>3705.895770392749</c:v>
                </c:pt>
                <c:pt idx="2">
                  <c:v>5176.7999999999847</c:v>
                </c:pt>
                <c:pt idx="3">
                  <c:v>3322</c:v>
                </c:pt>
                <c:pt idx="4">
                  <c:v>3705.895770392749</c:v>
                </c:pt>
                <c:pt idx="5">
                  <c:v>3859.4540785498489</c:v>
                </c:pt>
                <c:pt idx="6">
                  <c:v>3782.6749244712987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gre'!$AL$49:$AL$55</c:f>
              <c:numCache>
                <c:formatCode>General</c:formatCode>
                <c:ptCount val="7"/>
                <c:pt idx="0">
                  <c:v>3081.7411253776436</c:v>
                </c:pt>
                <c:pt idx="1">
                  <c:v>2862.3865181268884</c:v>
                </c:pt>
                <c:pt idx="2">
                  <c:v>2423.6773036253776</c:v>
                </c:pt>
                <c:pt idx="3">
                  <c:v>4902.8843088693366</c:v>
                </c:pt>
                <c:pt idx="4">
                  <c:v>2862.3865181268884</c:v>
                </c:pt>
                <c:pt idx="5">
                  <c:v>3081.7411253776436</c:v>
                </c:pt>
                <c:pt idx="6">
                  <c:v>3081.7411253776436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gre'!$AB$49:$AB$55</c:f>
              <c:numCache>
                <c:formatCode>General</c:formatCode>
                <c:ptCount val="7"/>
                <c:pt idx="0">
                  <c:v>601.48376132930514</c:v>
                </c:pt>
                <c:pt idx="1">
                  <c:v>509.34554380664656</c:v>
                </c:pt>
                <c:pt idx="2">
                  <c:v>325.06910876132929</c:v>
                </c:pt>
                <c:pt idx="3">
                  <c:v>279</c:v>
                </c:pt>
                <c:pt idx="4">
                  <c:v>1509.049999999997</c:v>
                </c:pt>
                <c:pt idx="5">
                  <c:v>601.48376132930514</c:v>
                </c:pt>
                <c:pt idx="6">
                  <c:v>601.48376132930514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gre'!$Z$49:$Z$55</c:f>
              <c:numCache>
                <c:formatCode>General</c:formatCode>
                <c:ptCount val="7"/>
                <c:pt idx="0">
                  <c:v>248.17934290030209</c:v>
                </c:pt>
                <c:pt idx="1">
                  <c:v>245.27095921450149</c:v>
                </c:pt>
                <c:pt idx="2">
                  <c:v>239.45419184290029</c:v>
                </c:pt>
                <c:pt idx="3">
                  <c:v>238</c:v>
                </c:pt>
                <c:pt idx="4">
                  <c:v>245.27095921450149</c:v>
                </c:pt>
                <c:pt idx="5">
                  <c:v>264</c:v>
                </c:pt>
                <c:pt idx="6">
                  <c:v>246.7251510574018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gre'!$AD$49:$AD$55</c:f>
              <c:numCache>
                <c:formatCode>General</c:formatCode>
                <c:ptCount val="7"/>
                <c:pt idx="0">
                  <c:v>213.63867069486403</c:v>
                </c:pt>
                <c:pt idx="1">
                  <c:v>203.4561933534743</c:v>
                </c:pt>
                <c:pt idx="2">
                  <c:v>183.09123867069485</c:v>
                </c:pt>
                <c:pt idx="3">
                  <c:v>178</c:v>
                </c:pt>
                <c:pt idx="4">
                  <c:v>203.4561933534743</c:v>
                </c:pt>
                <c:pt idx="5">
                  <c:v>213.63867069486403</c:v>
                </c:pt>
                <c:pt idx="6">
                  <c:v>335.70000000000067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420928"/>
        <c:axId val="175422464"/>
      </c:barChart>
      <c:catAx>
        <c:axId val="17542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422464"/>
        <c:crosses val="autoZero"/>
        <c:auto val="1"/>
        <c:lblAlgn val="ctr"/>
        <c:lblOffset val="100"/>
        <c:noMultiLvlLbl val="0"/>
      </c:catAx>
      <c:valAx>
        <c:axId val="175422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542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2x1000 intermediate vs gre'!$AJ$48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gre'!$AJ$56:$AJ$62</c:f>
              <c:numCache>
                <c:formatCode>General</c:formatCode>
                <c:ptCount val="7"/>
                <c:pt idx="0">
                  <c:v>2768.1489562904062</c:v>
                </c:pt>
                <c:pt idx="1">
                  <c:v>2768.1489562904053</c:v>
                </c:pt>
                <c:pt idx="2">
                  <c:v>2768.1489562904053</c:v>
                </c:pt>
                <c:pt idx="3">
                  <c:v>2768.1489562904044</c:v>
                </c:pt>
                <c:pt idx="4">
                  <c:v>2768.148956290408</c:v>
                </c:pt>
                <c:pt idx="5">
                  <c:v>2768.1489562904039</c:v>
                </c:pt>
                <c:pt idx="6">
                  <c:v>2768.1489562904067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gre'!$AF$56:$AF$62</c:f>
              <c:numCache>
                <c:formatCode>General</c:formatCode>
                <c:ptCount val="7"/>
                <c:pt idx="0">
                  <c:v>2330.6072393822396</c:v>
                </c:pt>
                <c:pt idx="1">
                  <c:v>2755.7999999999988</c:v>
                </c:pt>
                <c:pt idx="2">
                  <c:v>2116.5682432432432</c:v>
                </c:pt>
                <c:pt idx="3">
                  <c:v>2009.5487451737451</c:v>
                </c:pt>
                <c:pt idx="4">
                  <c:v>2223.5877413127414</c:v>
                </c:pt>
                <c:pt idx="5">
                  <c:v>2330.6072393822396</c:v>
                </c:pt>
                <c:pt idx="6">
                  <c:v>2303.5262835521189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gre'!$AH$56:$AH$62</c:f>
              <c:numCache>
                <c:formatCode>General</c:formatCode>
                <c:ptCount val="7"/>
                <c:pt idx="0">
                  <c:v>4396.9537932046287</c:v>
                </c:pt>
                <c:pt idx="1">
                  <c:v>4205.1084942084935</c:v>
                </c:pt>
                <c:pt idx="2">
                  <c:v>5176.8000000000011</c:v>
                </c:pt>
                <c:pt idx="3">
                  <c:v>3839.6761503474845</c:v>
                </c:pt>
                <c:pt idx="4">
                  <c:v>4223.8231227397246</c:v>
                </c:pt>
                <c:pt idx="5">
                  <c:v>4389.5382526640869</c:v>
                </c:pt>
                <c:pt idx="6">
                  <c:v>4303.2316602316596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gre'!$AL$56:$AL$62</c:f>
              <c:numCache>
                <c:formatCode>General</c:formatCode>
                <c:ptCount val="7"/>
                <c:pt idx="0">
                  <c:v>3855.8342181467183</c:v>
                </c:pt>
                <c:pt idx="1">
                  <c:v>3575.5007239382239</c:v>
                </c:pt>
                <c:pt idx="2">
                  <c:v>3295.16722972973</c:v>
                </c:pt>
                <c:pt idx="3">
                  <c:v>5045</c:v>
                </c:pt>
                <c:pt idx="4">
                  <c:v>3613.9281434378731</c:v>
                </c:pt>
                <c:pt idx="5">
                  <c:v>3855.8342181467183</c:v>
                </c:pt>
                <c:pt idx="6">
                  <c:v>3855.8342181467183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gre'!$AB$56:$AB$62</c:f>
              <c:numCache>
                <c:formatCode>General</c:formatCode>
                <c:ptCount val="7"/>
                <c:pt idx="0">
                  <c:v>926.63561776061783</c:v>
                </c:pt>
                <c:pt idx="1">
                  <c:v>808.88368725868736</c:v>
                </c:pt>
                <c:pt idx="2">
                  <c:v>691.13175675675677</c:v>
                </c:pt>
                <c:pt idx="3">
                  <c:v>621.87</c:v>
                </c:pt>
                <c:pt idx="4">
                  <c:v>1509.0500000000009</c:v>
                </c:pt>
                <c:pt idx="5">
                  <c:v>926.63561776061783</c:v>
                </c:pt>
                <c:pt idx="6">
                  <c:v>926.63561776061783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gre'!$Z$56:$Z$62</c:f>
              <c:numCache>
                <c:formatCode>General</c:formatCode>
                <c:ptCount val="7"/>
                <c:pt idx="0">
                  <c:v>256.58445945945942</c:v>
                </c:pt>
                <c:pt idx="1">
                  <c:v>254.72601351351349</c:v>
                </c:pt>
                <c:pt idx="2">
                  <c:v>251.0091216216216</c:v>
                </c:pt>
                <c:pt idx="3">
                  <c:v>247.29222972972971</c:v>
                </c:pt>
                <c:pt idx="4">
                  <c:v>254.72601351351349</c:v>
                </c:pt>
                <c:pt idx="5">
                  <c:v>264</c:v>
                </c:pt>
                <c:pt idx="6">
                  <c:v>256.58445945945942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gre'!$AD$56:$AD$62</c:f>
              <c:numCache>
                <c:formatCode>General</c:formatCode>
                <c:ptCount val="7"/>
                <c:pt idx="0">
                  <c:v>249.57220077220074</c:v>
                </c:pt>
                <c:pt idx="1">
                  <c:v>236.55907335907335</c:v>
                </c:pt>
                <c:pt idx="2">
                  <c:v>223.54594594594593</c:v>
                </c:pt>
                <c:pt idx="3">
                  <c:v>210.53281853281854</c:v>
                </c:pt>
                <c:pt idx="4">
                  <c:v>236.55907335907335</c:v>
                </c:pt>
                <c:pt idx="5">
                  <c:v>249.57220077220074</c:v>
                </c:pt>
                <c:pt idx="6">
                  <c:v>335.7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795584"/>
        <c:axId val="175809664"/>
      </c:barChart>
      <c:catAx>
        <c:axId val="17579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09664"/>
        <c:crosses val="autoZero"/>
        <c:auto val="1"/>
        <c:lblAlgn val="ctr"/>
        <c:lblOffset val="100"/>
        <c:noMultiLvlLbl val="0"/>
      </c:catAx>
      <c:valAx>
        <c:axId val="175809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5795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3885373286435772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2x1000 intermediate vs gre'!$AK$48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gre'!$AK$56:$AK$62</c:f>
              <c:numCache>
                <c:formatCode>General</c:formatCode>
                <c:ptCount val="7"/>
                <c:pt idx="0">
                  <c:v>3359.8510437095965</c:v>
                </c:pt>
                <c:pt idx="1">
                  <c:v>3359.851043709602</c:v>
                </c:pt>
                <c:pt idx="2">
                  <c:v>3359.8510437095974</c:v>
                </c:pt>
                <c:pt idx="3">
                  <c:v>3359.8510437096029</c:v>
                </c:pt>
                <c:pt idx="4">
                  <c:v>3359.8510437096002</c:v>
                </c:pt>
                <c:pt idx="5">
                  <c:v>3359.8510437095988</c:v>
                </c:pt>
                <c:pt idx="6">
                  <c:v>3359.8510437095952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gre'!$AG$56:$AG$62</c:f>
              <c:numCache>
                <c:formatCode>General</c:formatCode>
                <c:ptCount val="7"/>
                <c:pt idx="0">
                  <c:v>2758.6852316602317</c:v>
                </c:pt>
                <c:pt idx="1">
                  <c:v>3368.2000000000003</c:v>
                </c:pt>
                <c:pt idx="2">
                  <c:v>2598.1559845559846</c:v>
                </c:pt>
                <c:pt idx="3">
                  <c:v>2491.1364864864868</c:v>
                </c:pt>
                <c:pt idx="4">
                  <c:v>2705.1754826254828</c:v>
                </c:pt>
                <c:pt idx="5">
                  <c:v>2758.6852316602317</c:v>
                </c:pt>
                <c:pt idx="6">
                  <c:v>2758.6852316602317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gre'!$AI$56:$AI$62</c:f>
              <c:numCache>
                <c:formatCode>General</c:formatCode>
                <c:ptCount val="7"/>
                <c:pt idx="0">
                  <c:v>5186.340154440154</c:v>
                </c:pt>
                <c:pt idx="1">
                  <c:v>5088.216988416988</c:v>
                </c:pt>
                <c:pt idx="2">
                  <c:v>6327.2000000000007</c:v>
                </c:pt>
                <c:pt idx="3">
                  <c:v>4695.7243243243238</c:v>
                </c:pt>
                <c:pt idx="4">
                  <c:v>5088.216988416988</c:v>
                </c:pt>
                <c:pt idx="5">
                  <c:v>5186.340154440154</c:v>
                </c:pt>
                <c:pt idx="6">
                  <c:v>5186.340154440154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gre'!$AM$56:$AM$62</c:f>
              <c:numCache>
                <c:formatCode>General</c:formatCode>
                <c:ptCount val="7"/>
                <c:pt idx="0">
                  <c:v>4977.1681949806953</c:v>
                </c:pt>
                <c:pt idx="1">
                  <c:v>4836.6381870270225</c:v>
                </c:pt>
                <c:pt idx="2">
                  <c:v>4556.667953667954</c:v>
                </c:pt>
                <c:pt idx="3">
                  <c:v>6165</c:v>
                </c:pt>
                <c:pt idx="4">
                  <c:v>4837.0014478764479</c:v>
                </c:pt>
                <c:pt idx="5">
                  <c:v>4977.1681949806953</c:v>
                </c:pt>
                <c:pt idx="6">
                  <c:v>4977.1681949806953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gre'!$AC$56:$AC$62</c:f>
              <c:numCache>
                <c:formatCode>General</c:formatCode>
                <c:ptCount val="7"/>
                <c:pt idx="0">
                  <c:v>1397.64333976834</c:v>
                </c:pt>
                <c:pt idx="1">
                  <c:v>1279.8914092664095</c:v>
                </c:pt>
                <c:pt idx="2">
                  <c:v>1186.291468880301</c:v>
                </c:pt>
                <c:pt idx="3">
                  <c:v>1103.2635135135135</c:v>
                </c:pt>
                <c:pt idx="4">
                  <c:v>1710.95</c:v>
                </c:pt>
                <c:pt idx="5">
                  <c:v>1397.64333976834</c:v>
                </c:pt>
                <c:pt idx="6">
                  <c:v>1397.64333976834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gre'!$AA$56:$AA$62</c:f>
              <c:numCache>
                <c:formatCode>General</c:formatCode>
                <c:ptCount val="7"/>
                <c:pt idx="0">
                  <c:v>264</c:v>
                </c:pt>
                <c:pt idx="1">
                  <c:v>264</c:v>
                </c:pt>
                <c:pt idx="2">
                  <c:v>264</c:v>
                </c:pt>
                <c:pt idx="3">
                  <c:v>264</c:v>
                </c:pt>
                <c:pt idx="4">
                  <c:v>264</c:v>
                </c:pt>
                <c:pt idx="5">
                  <c:v>264</c:v>
                </c:pt>
                <c:pt idx="6">
                  <c:v>264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gre'!$AE$56:$AE$62</c:f>
              <c:numCache>
                <c:formatCode>General</c:formatCode>
                <c:ptCount val="7"/>
                <c:pt idx="0">
                  <c:v>301.62471042471037</c:v>
                </c:pt>
                <c:pt idx="1">
                  <c:v>288.61158301158298</c:v>
                </c:pt>
                <c:pt idx="2">
                  <c:v>275.59845559845559</c:v>
                </c:pt>
                <c:pt idx="3">
                  <c:v>269.09189189189186</c:v>
                </c:pt>
                <c:pt idx="4">
                  <c:v>295.1181467181467</c:v>
                </c:pt>
                <c:pt idx="5">
                  <c:v>301.62471042471037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2x1000 intermediate vs gre'!$K$48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2x1000 intermediate vs gre'!$K$56:$K$62</c:f>
              <c:numCache>
                <c:formatCode>General</c:formatCode>
                <c:ptCount val="7"/>
                <c:pt idx="0">
                  <c:v>2928</c:v>
                </c:pt>
                <c:pt idx="1">
                  <c:v>2688</c:v>
                </c:pt>
                <c:pt idx="2">
                  <c:v>2606</c:v>
                </c:pt>
                <c:pt idx="3">
                  <c:v>2826</c:v>
                </c:pt>
                <c:pt idx="4">
                  <c:v>2913</c:v>
                </c:pt>
                <c:pt idx="5">
                  <c:v>2928</c:v>
                </c:pt>
                <c:pt idx="6">
                  <c:v>2893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831680"/>
        <c:axId val="175509888"/>
      </c:barChart>
      <c:catAx>
        <c:axId val="17583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09888"/>
        <c:crosses val="autoZero"/>
        <c:auto val="1"/>
        <c:lblAlgn val="ctr"/>
        <c:lblOffset val="100"/>
        <c:noMultiLvlLbl val="0"/>
      </c:catAx>
      <c:valAx>
        <c:axId val="1755098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583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2x1000 intermediate vs gre'!$AK$48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gre'!$AK$49:$AK$55</c:f>
              <c:numCache>
                <c:formatCode>General</c:formatCode>
                <c:ptCount val="7"/>
                <c:pt idx="0">
                  <c:v>3359.8510437096002</c:v>
                </c:pt>
                <c:pt idx="1">
                  <c:v>2778.5468980902579</c:v>
                </c:pt>
                <c:pt idx="2">
                  <c:v>2768.1489562904053</c:v>
                </c:pt>
                <c:pt idx="3">
                  <c:v>2768.1489562904076</c:v>
                </c:pt>
                <c:pt idx="4">
                  <c:v>2822.1578504076379</c:v>
                </c:pt>
                <c:pt idx="5">
                  <c:v>3359.8510437095929</c:v>
                </c:pt>
                <c:pt idx="6">
                  <c:v>3359.8510437095933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gre'!$AG$49:$AG$55</c:f>
              <c:numCache>
                <c:formatCode>General</c:formatCode>
                <c:ptCount val="7"/>
                <c:pt idx="0">
                  <c:v>2370.0524924471301</c:v>
                </c:pt>
                <c:pt idx="1">
                  <c:v>3368.2000000000003</c:v>
                </c:pt>
                <c:pt idx="2">
                  <c:v>2118.8314954682778</c:v>
                </c:pt>
                <c:pt idx="3">
                  <c:v>1867.6104984894259</c:v>
                </c:pt>
                <c:pt idx="4">
                  <c:v>2286.3121601208459</c:v>
                </c:pt>
                <c:pt idx="5">
                  <c:v>2370.0524924471301</c:v>
                </c:pt>
                <c:pt idx="6">
                  <c:v>2370.0524924471301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gre'!$AI$49:$AI$55</c:f>
              <c:numCache>
                <c:formatCode>General</c:formatCode>
                <c:ptCount val="7"/>
                <c:pt idx="0">
                  <c:v>4473.687311178247</c:v>
                </c:pt>
                <c:pt idx="1">
                  <c:v>4320.1290030211476</c:v>
                </c:pt>
                <c:pt idx="2">
                  <c:v>6327.2000000000007</c:v>
                </c:pt>
                <c:pt idx="3">
                  <c:v>3552.3374622356496</c:v>
                </c:pt>
                <c:pt idx="4">
                  <c:v>4320.1290030211476</c:v>
                </c:pt>
                <c:pt idx="5">
                  <c:v>4473.687311178247</c:v>
                </c:pt>
                <c:pt idx="6">
                  <c:v>4473.687311178247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gre'!$AM$49:$AM$55</c:f>
              <c:numCache>
                <c:formatCode>General</c:formatCode>
                <c:ptCount val="7"/>
                <c:pt idx="0">
                  <c:v>4033.871656495462</c:v>
                </c:pt>
                <c:pt idx="1">
                  <c:v>3739.8049471299091</c:v>
                </c:pt>
                <c:pt idx="2">
                  <c:v>3353.1515294131591</c:v>
                </c:pt>
                <c:pt idx="3">
                  <c:v>6165</c:v>
                </c:pt>
                <c:pt idx="4">
                  <c:v>3739.8049471299091</c:v>
                </c:pt>
                <c:pt idx="5">
                  <c:v>4013.8638770392768</c:v>
                </c:pt>
                <c:pt idx="6">
                  <c:v>3959.1595543806648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gre'!$AC$49:$AC$55</c:f>
              <c:numCache>
                <c:formatCode>General</c:formatCode>
                <c:ptCount val="7"/>
                <c:pt idx="0">
                  <c:v>1016.105740181269</c:v>
                </c:pt>
                <c:pt idx="1">
                  <c:v>877.89841389728099</c:v>
                </c:pt>
                <c:pt idx="2">
                  <c:v>693.62197885196383</c:v>
                </c:pt>
                <c:pt idx="3">
                  <c:v>417.20732628398792</c:v>
                </c:pt>
                <c:pt idx="4">
                  <c:v>1710.95</c:v>
                </c:pt>
                <c:pt idx="5">
                  <c:v>1016.105740181269</c:v>
                </c:pt>
                <c:pt idx="6">
                  <c:v>970.03663141993968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gre'!$AA$49:$AA$55</c:f>
              <c:numCache>
                <c:formatCode>General</c:formatCode>
                <c:ptCount val="7"/>
                <c:pt idx="0">
                  <c:v>259.81287764350452</c:v>
                </c:pt>
                <c:pt idx="1">
                  <c:v>256.90449395770389</c:v>
                </c:pt>
                <c:pt idx="2">
                  <c:v>251.08772658610269</c:v>
                </c:pt>
                <c:pt idx="3">
                  <c:v>242.36257552870089</c:v>
                </c:pt>
                <c:pt idx="4">
                  <c:v>256.90449395770389</c:v>
                </c:pt>
                <c:pt idx="5">
                  <c:v>264</c:v>
                </c:pt>
                <c:pt idx="6">
                  <c:v>259.81287764350452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gre'!$AE$49:$AE$55</c:f>
              <c:numCache>
                <c:formatCode>General</c:formatCode>
                <c:ptCount val="7"/>
                <c:pt idx="0">
                  <c:v>254.36858006042294</c:v>
                </c:pt>
                <c:pt idx="1">
                  <c:v>244.18610271903322</c:v>
                </c:pt>
                <c:pt idx="2">
                  <c:v>223.82114803625376</c:v>
                </c:pt>
                <c:pt idx="3">
                  <c:v>193.27371601208458</c:v>
                </c:pt>
                <c:pt idx="4">
                  <c:v>244.18610271903322</c:v>
                </c:pt>
                <c:pt idx="5">
                  <c:v>254.36858006042294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2x1000 intermediate vs gre'!$K$48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2x1000 intermediate vs gre'!$K$49:$K$55</c:f>
              <c:numCache>
                <c:formatCode>General</c:formatCode>
                <c:ptCount val="7"/>
                <c:pt idx="0">
                  <c:v>2250</c:v>
                </c:pt>
                <c:pt idx="1">
                  <c:v>2493</c:v>
                </c:pt>
                <c:pt idx="2">
                  <c:v>2343</c:v>
                </c:pt>
                <c:pt idx="3">
                  <c:v>2873</c:v>
                </c:pt>
                <c:pt idx="4">
                  <c:v>2688</c:v>
                </c:pt>
                <c:pt idx="5">
                  <c:v>2266</c:v>
                </c:pt>
                <c:pt idx="6">
                  <c:v>2290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564672"/>
        <c:axId val="175566208"/>
      </c:barChart>
      <c:catAx>
        <c:axId val="17556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66208"/>
        <c:crosses val="autoZero"/>
        <c:auto val="1"/>
        <c:lblAlgn val="ctr"/>
        <c:lblOffset val="100"/>
        <c:noMultiLvlLbl val="0"/>
      </c:catAx>
      <c:valAx>
        <c:axId val="1755662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5564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572285051310617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912417501210404E-2"/>
          <c:y val="3.8600671587406835E-2"/>
          <c:w val="0.94983767805723318"/>
          <c:h val="0.76736772887272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Sheet2!$C$3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multiLvlStrRef>
              <c:f>Sheet2!$A$4:$B$17</c:f>
              <c:multiLvlStrCache>
                <c:ptCount val="14"/>
                <c:lvl>
                  <c:pt idx="0">
                    <c:v>Ref</c:v>
                  </c:pt>
                  <c:pt idx="1">
                    <c:v>Cheap NO ramp</c:v>
                  </c:pt>
                  <c:pt idx="2">
                    <c:v>Cheap RU ramp</c:v>
                  </c:pt>
                  <c:pt idx="3">
                    <c:v>Cheap LNG ramp</c:v>
                  </c:pt>
                  <c:pt idx="4">
                    <c:v>Cheap DZ ramp</c:v>
                  </c:pt>
                  <c:pt idx="5">
                    <c:v>Cheap AZ ramp</c:v>
                  </c:pt>
                  <c:pt idx="6">
                    <c:v>Cheap LY ramp</c:v>
                  </c:pt>
                  <c:pt idx="7">
                    <c:v>Ref</c:v>
                  </c:pt>
                  <c:pt idx="8">
                    <c:v>Cheap NO ramp</c:v>
                  </c:pt>
                  <c:pt idx="9">
                    <c:v>Cheap RU ramp</c:v>
                  </c:pt>
                  <c:pt idx="10">
                    <c:v>Cheap LNG ramp</c:v>
                  </c:pt>
                  <c:pt idx="11">
                    <c:v>Cheap DZ ramp</c:v>
                  </c:pt>
                  <c:pt idx="12">
                    <c:v>Cheap AZ ramp</c:v>
                  </c:pt>
                  <c:pt idx="13">
                    <c:v>Cheap LY ramp</c:v>
                  </c:pt>
                </c:lvl>
                <c:lvl>
                  <c:pt idx="0">
                    <c:v>2x500</c:v>
                  </c:pt>
                  <c:pt idx="1">
                    <c:v>2x500</c:v>
                  </c:pt>
                  <c:pt idx="2">
                    <c:v>2x500</c:v>
                  </c:pt>
                  <c:pt idx="3">
                    <c:v>2x500</c:v>
                  </c:pt>
                  <c:pt idx="4">
                    <c:v>2x500</c:v>
                  </c:pt>
                  <c:pt idx="5">
                    <c:v>2x500</c:v>
                  </c:pt>
                  <c:pt idx="6">
                    <c:v>2x500</c:v>
                  </c:pt>
                  <c:pt idx="7">
                    <c:v>2x1000</c:v>
                  </c:pt>
                  <c:pt idx="8">
                    <c:v>2x1000</c:v>
                  </c:pt>
                  <c:pt idx="9">
                    <c:v>2x1000</c:v>
                  </c:pt>
                  <c:pt idx="10">
                    <c:v>2x1000</c:v>
                  </c:pt>
                  <c:pt idx="11">
                    <c:v>2x1000</c:v>
                  </c:pt>
                  <c:pt idx="12">
                    <c:v>2x1000</c:v>
                  </c:pt>
                  <c:pt idx="13">
                    <c:v>2x1000</c:v>
                  </c:pt>
                </c:lvl>
              </c:multiLvlStrCache>
            </c:multiLvlStrRef>
          </c:cat>
          <c:val>
            <c:numRef>
              <c:f>Sheet2!$C$4:$C$17</c:f>
              <c:numCache>
                <c:formatCode>0%</c:formatCode>
                <c:ptCount val="14"/>
                <c:pt idx="0">
                  <c:v>0.17201194418672719</c:v>
                </c:pt>
                <c:pt idx="1">
                  <c:v>0.15868622588950743</c:v>
                </c:pt>
                <c:pt idx="2">
                  <c:v>0.1477288347165536</c:v>
                </c:pt>
                <c:pt idx="3">
                  <c:v>0.15410891011375782</c:v>
                </c:pt>
                <c:pt idx="4">
                  <c:v>0.16610276726343257</c:v>
                </c:pt>
                <c:pt idx="5">
                  <c:v>0.17201194418672711</c:v>
                </c:pt>
                <c:pt idx="6">
                  <c:v>0.16978661007948184</c:v>
                </c:pt>
                <c:pt idx="7">
                  <c:v>0.13828728857621947</c:v>
                </c:pt>
                <c:pt idx="8">
                  <c:v>0.12695168610583216</c:v>
                </c:pt>
                <c:pt idx="9">
                  <c:v>0.12307683643029375</c:v>
                </c:pt>
                <c:pt idx="10">
                  <c:v>0.13346514702673618</c:v>
                </c:pt>
                <c:pt idx="11">
                  <c:v>0.13757884677547685</c:v>
                </c:pt>
                <c:pt idx="12">
                  <c:v>0.13828728857621944</c:v>
                </c:pt>
                <c:pt idx="13">
                  <c:v>0.1366363597260116</c:v>
                </c:pt>
              </c:numCache>
            </c:numRef>
          </c:val>
        </c:ser>
        <c:ser>
          <c:idx val="1"/>
          <c:order val="1"/>
          <c:tx>
            <c:strRef>
              <c:f>Sheet2!$D$3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multiLvlStrRef>
              <c:f>Sheet2!$A$4:$B$17</c:f>
              <c:multiLvlStrCache>
                <c:ptCount val="14"/>
                <c:lvl>
                  <c:pt idx="0">
                    <c:v>Ref</c:v>
                  </c:pt>
                  <c:pt idx="1">
                    <c:v>Cheap NO ramp</c:v>
                  </c:pt>
                  <c:pt idx="2">
                    <c:v>Cheap RU ramp</c:v>
                  </c:pt>
                  <c:pt idx="3">
                    <c:v>Cheap LNG ramp</c:v>
                  </c:pt>
                  <c:pt idx="4">
                    <c:v>Cheap DZ ramp</c:v>
                  </c:pt>
                  <c:pt idx="5">
                    <c:v>Cheap AZ ramp</c:v>
                  </c:pt>
                  <c:pt idx="6">
                    <c:v>Cheap LY ramp</c:v>
                  </c:pt>
                  <c:pt idx="7">
                    <c:v>Ref</c:v>
                  </c:pt>
                  <c:pt idx="8">
                    <c:v>Cheap NO ramp</c:v>
                  </c:pt>
                  <c:pt idx="9">
                    <c:v>Cheap RU ramp</c:v>
                  </c:pt>
                  <c:pt idx="10">
                    <c:v>Cheap LNG ramp</c:v>
                  </c:pt>
                  <c:pt idx="11">
                    <c:v>Cheap DZ ramp</c:v>
                  </c:pt>
                  <c:pt idx="12">
                    <c:v>Cheap AZ ramp</c:v>
                  </c:pt>
                  <c:pt idx="13">
                    <c:v>Cheap LY ramp</c:v>
                  </c:pt>
                </c:lvl>
                <c:lvl>
                  <c:pt idx="0">
                    <c:v>2x500</c:v>
                  </c:pt>
                  <c:pt idx="1">
                    <c:v>2x500</c:v>
                  </c:pt>
                  <c:pt idx="2">
                    <c:v>2x500</c:v>
                  </c:pt>
                  <c:pt idx="3">
                    <c:v>2x500</c:v>
                  </c:pt>
                  <c:pt idx="4">
                    <c:v>2x500</c:v>
                  </c:pt>
                  <c:pt idx="5">
                    <c:v>2x500</c:v>
                  </c:pt>
                  <c:pt idx="6">
                    <c:v>2x500</c:v>
                  </c:pt>
                  <c:pt idx="7">
                    <c:v>2x1000</c:v>
                  </c:pt>
                  <c:pt idx="8">
                    <c:v>2x1000</c:v>
                  </c:pt>
                  <c:pt idx="9">
                    <c:v>2x1000</c:v>
                  </c:pt>
                  <c:pt idx="10">
                    <c:v>2x1000</c:v>
                  </c:pt>
                  <c:pt idx="11">
                    <c:v>2x1000</c:v>
                  </c:pt>
                  <c:pt idx="12">
                    <c:v>2x1000</c:v>
                  </c:pt>
                  <c:pt idx="13">
                    <c:v>2x1000</c:v>
                  </c:pt>
                </c:lvl>
              </c:multiLvlStrCache>
            </c:multiLvlStrRef>
          </c:cat>
          <c:val>
            <c:numRef>
              <c:f>Sheet2!$D$4:$D$17</c:f>
              <c:numCache>
                <c:formatCode>0.00%</c:formatCode>
                <c:ptCount val="14"/>
                <c:pt idx="0">
                  <c:v>0.15606730482622577</c:v>
                </c:pt>
                <c:pt idx="1">
                  <c:v>0.16438482366438745</c:v>
                </c:pt>
                <c:pt idx="2">
                  <c:v>0.15216937762062216</c:v>
                </c:pt>
                <c:pt idx="3">
                  <c:v>0.1667696891841422</c:v>
                </c:pt>
                <c:pt idx="4">
                  <c:v>0.17468098699267431</c:v>
                </c:pt>
                <c:pt idx="5">
                  <c:v>0.15678804747846445</c:v>
                </c:pt>
                <c:pt idx="6">
                  <c:v>0.16195605046725736</c:v>
                </c:pt>
                <c:pt idx="7">
                  <c:v>0.1248768596105959</c:v>
                </c:pt>
                <c:pt idx="8">
                  <c:v>0.13789731321324999</c:v>
                </c:pt>
                <c:pt idx="9">
                  <c:v>0.12959885925512399</c:v>
                </c:pt>
                <c:pt idx="10">
                  <c:v>0.15891417942679711</c:v>
                </c:pt>
                <c:pt idx="11">
                  <c:v>0.1487676480101672</c:v>
                </c:pt>
                <c:pt idx="12">
                  <c:v>0.12576362102375568</c:v>
                </c:pt>
                <c:pt idx="13">
                  <c:v>0.1270887796335502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17920"/>
        <c:axId val="175619456"/>
      </c:barChart>
      <c:catAx>
        <c:axId val="17561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619456"/>
        <c:crosses val="autoZero"/>
        <c:auto val="1"/>
        <c:lblAlgn val="ctr"/>
        <c:lblOffset val="100"/>
        <c:noMultiLvlLbl val="0"/>
      </c:catAx>
      <c:valAx>
        <c:axId val="175619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561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55562659698432"/>
          <c:y val="5.1211140488573545E-2"/>
          <c:w val="5.6978129278412129E-2"/>
          <c:h val="0.1341723887016068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green'!$AO$51:$AU$51</c:f>
              <c:numCache>
                <c:formatCode>General</c:formatCode>
                <c:ptCount val="7"/>
                <c:pt idx="0">
                  <c:v>1.0143818685448587</c:v>
                </c:pt>
                <c:pt idx="1">
                  <c:v>1.1344634230512578</c:v>
                </c:pt>
                <c:pt idx="2">
                  <c:v>1.064242456824795</c:v>
                </c:pt>
                <c:pt idx="3">
                  <c:v>1.0567474855891272</c:v>
                </c:pt>
                <c:pt idx="4">
                  <c:v>1.1000000000000014</c:v>
                </c:pt>
                <c:pt idx="5">
                  <c:v>1.0965571291480409</c:v>
                </c:pt>
                <c:pt idx="6">
                  <c:v>1.0892573161753465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green'!$AO$58:$AU$58</c:f>
              <c:numCache>
                <c:formatCode>General</c:formatCode>
                <c:ptCount val="7"/>
                <c:pt idx="0">
                  <c:v>1.0252245597854146</c:v>
                </c:pt>
                <c:pt idx="1">
                  <c:v>1.2637443200669491</c:v>
                </c:pt>
                <c:pt idx="2">
                  <c:v>1.1042834688548127</c:v>
                </c:pt>
                <c:pt idx="3">
                  <c:v>1.1021454740604288</c:v>
                </c:pt>
                <c:pt idx="4">
                  <c:v>1.0999999999999999</c:v>
                </c:pt>
                <c:pt idx="5">
                  <c:v>1.0965571291480405</c:v>
                </c:pt>
                <c:pt idx="6">
                  <c:v>1.1606631691156233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52512"/>
        <c:axId val="169154048"/>
      </c:barChart>
      <c:catAx>
        <c:axId val="169152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154048"/>
        <c:crosses val="autoZero"/>
        <c:auto val="1"/>
        <c:lblAlgn val="ctr"/>
        <c:lblOffset val="100"/>
        <c:noMultiLvlLbl val="0"/>
      </c:catAx>
      <c:valAx>
        <c:axId val="16915404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RU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152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558784079615818E-2"/>
          <c:y val="3.8600671587406835E-2"/>
          <c:w val="0.94983767805723318"/>
          <c:h val="0.76736772887272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Sheet2!$I$3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multiLvlStrRef>
              <c:f>Sheet2!$G$4:$H$17</c:f>
              <c:multiLvlStrCache>
                <c:ptCount val="14"/>
                <c:lvl>
                  <c:pt idx="0">
                    <c:v>Ref</c:v>
                  </c:pt>
                  <c:pt idx="1">
                    <c:v>Ref</c:v>
                  </c:pt>
                  <c:pt idx="2">
                    <c:v>Cheap RU ramp</c:v>
                  </c:pt>
                  <c:pt idx="3">
                    <c:v>Cheap RU ramp</c:v>
                  </c:pt>
                  <c:pt idx="4">
                    <c:v>Cheap NO ramp</c:v>
                  </c:pt>
                  <c:pt idx="5">
                    <c:v>Cheap NO ramp</c:v>
                  </c:pt>
                  <c:pt idx="6">
                    <c:v>Cheap LY ramp</c:v>
                  </c:pt>
                  <c:pt idx="7">
                    <c:v>Cheap LY ramp</c:v>
                  </c:pt>
                  <c:pt idx="8">
                    <c:v>Cheap LNG ramp</c:v>
                  </c:pt>
                  <c:pt idx="9">
                    <c:v>Cheap LNG ramp</c:v>
                  </c:pt>
                  <c:pt idx="10">
                    <c:v>Cheap DZ ramp</c:v>
                  </c:pt>
                  <c:pt idx="11">
                    <c:v>Cheap DZ ramp</c:v>
                  </c:pt>
                  <c:pt idx="12">
                    <c:v>Cheap AZ ramp</c:v>
                  </c:pt>
                  <c:pt idx="13">
                    <c:v>Cheap AZ ramp</c:v>
                  </c:pt>
                </c:lvl>
                <c:lvl>
                  <c:pt idx="0">
                    <c:v>2x500</c:v>
                  </c:pt>
                  <c:pt idx="1">
                    <c:v>2x1000</c:v>
                  </c:pt>
                  <c:pt idx="2">
                    <c:v>2x500</c:v>
                  </c:pt>
                  <c:pt idx="3">
                    <c:v>2x1000</c:v>
                  </c:pt>
                  <c:pt idx="4">
                    <c:v>2x500</c:v>
                  </c:pt>
                  <c:pt idx="5">
                    <c:v>2x1000</c:v>
                  </c:pt>
                  <c:pt idx="6">
                    <c:v>2x500</c:v>
                  </c:pt>
                  <c:pt idx="7">
                    <c:v>2x1000</c:v>
                  </c:pt>
                  <c:pt idx="8">
                    <c:v>2x500</c:v>
                  </c:pt>
                  <c:pt idx="9">
                    <c:v>2x1000</c:v>
                  </c:pt>
                  <c:pt idx="10">
                    <c:v>2x500</c:v>
                  </c:pt>
                  <c:pt idx="11">
                    <c:v>2x1000</c:v>
                  </c:pt>
                  <c:pt idx="12">
                    <c:v>2x500</c:v>
                  </c:pt>
                  <c:pt idx="13">
                    <c:v>2x1000</c:v>
                  </c:pt>
                </c:lvl>
              </c:multiLvlStrCache>
            </c:multiLvlStrRef>
          </c:cat>
          <c:val>
            <c:numRef>
              <c:f>Sheet2!$I$4:$I$17</c:f>
              <c:numCache>
                <c:formatCode>0%</c:formatCode>
                <c:ptCount val="14"/>
                <c:pt idx="0">
                  <c:v>0.17201194418672719</c:v>
                </c:pt>
                <c:pt idx="1">
                  <c:v>0.13828728857621947</c:v>
                </c:pt>
                <c:pt idx="2">
                  <c:v>0.1477288347165536</c:v>
                </c:pt>
                <c:pt idx="3">
                  <c:v>0.12307683643029375</c:v>
                </c:pt>
                <c:pt idx="4">
                  <c:v>0.15868622588950743</c:v>
                </c:pt>
                <c:pt idx="5">
                  <c:v>0.12695168610583216</c:v>
                </c:pt>
                <c:pt idx="6">
                  <c:v>0.16978661007948184</c:v>
                </c:pt>
                <c:pt idx="7">
                  <c:v>0.1366363597260116</c:v>
                </c:pt>
                <c:pt idx="8">
                  <c:v>0.15410891011375782</c:v>
                </c:pt>
                <c:pt idx="9">
                  <c:v>0.13346514702673618</c:v>
                </c:pt>
                <c:pt idx="10">
                  <c:v>0.16610276726343257</c:v>
                </c:pt>
                <c:pt idx="11">
                  <c:v>0.13757884677547685</c:v>
                </c:pt>
                <c:pt idx="12">
                  <c:v>0.17201194418672711</c:v>
                </c:pt>
                <c:pt idx="13">
                  <c:v>0.13828728857621944</c:v>
                </c:pt>
              </c:numCache>
            </c:numRef>
          </c:val>
        </c:ser>
        <c:ser>
          <c:idx val="1"/>
          <c:order val="1"/>
          <c:tx>
            <c:strRef>
              <c:f>Sheet2!$J$3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multiLvlStrRef>
              <c:f>Sheet2!$G$4:$H$17</c:f>
              <c:multiLvlStrCache>
                <c:ptCount val="14"/>
                <c:lvl>
                  <c:pt idx="0">
                    <c:v>Ref</c:v>
                  </c:pt>
                  <c:pt idx="1">
                    <c:v>Ref</c:v>
                  </c:pt>
                  <c:pt idx="2">
                    <c:v>Cheap RU ramp</c:v>
                  </c:pt>
                  <c:pt idx="3">
                    <c:v>Cheap RU ramp</c:v>
                  </c:pt>
                  <c:pt idx="4">
                    <c:v>Cheap NO ramp</c:v>
                  </c:pt>
                  <c:pt idx="5">
                    <c:v>Cheap NO ramp</c:v>
                  </c:pt>
                  <c:pt idx="6">
                    <c:v>Cheap LY ramp</c:v>
                  </c:pt>
                  <c:pt idx="7">
                    <c:v>Cheap LY ramp</c:v>
                  </c:pt>
                  <c:pt idx="8">
                    <c:v>Cheap LNG ramp</c:v>
                  </c:pt>
                  <c:pt idx="9">
                    <c:v>Cheap LNG ramp</c:v>
                  </c:pt>
                  <c:pt idx="10">
                    <c:v>Cheap DZ ramp</c:v>
                  </c:pt>
                  <c:pt idx="11">
                    <c:v>Cheap DZ ramp</c:v>
                  </c:pt>
                  <c:pt idx="12">
                    <c:v>Cheap AZ ramp</c:v>
                  </c:pt>
                  <c:pt idx="13">
                    <c:v>Cheap AZ ramp</c:v>
                  </c:pt>
                </c:lvl>
                <c:lvl>
                  <c:pt idx="0">
                    <c:v>2x500</c:v>
                  </c:pt>
                  <c:pt idx="1">
                    <c:v>2x1000</c:v>
                  </c:pt>
                  <c:pt idx="2">
                    <c:v>2x500</c:v>
                  </c:pt>
                  <c:pt idx="3">
                    <c:v>2x1000</c:v>
                  </c:pt>
                  <c:pt idx="4">
                    <c:v>2x500</c:v>
                  </c:pt>
                  <c:pt idx="5">
                    <c:v>2x1000</c:v>
                  </c:pt>
                  <c:pt idx="6">
                    <c:v>2x500</c:v>
                  </c:pt>
                  <c:pt idx="7">
                    <c:v>2x1000</c:v>
                  </c:pt>
                  <c:pt idx="8">
                    <c:v>2x500</c:v>
                  </c:pt>
                  <c:pt idx="9">
                    <c:v>2x1000</c:v>
                  </c:pt>
                  <c:pt idx="10">
                    <c:v>2x500</c:v>
                  </c:pt>
                  <c:pt idx="11">
                    <c:v>2x1000</c:v>
                  </c:pt>
                  <c:pt idx="12">
                    <c:v>2x500</c:v>
                  </c:pt>
                  <c:pt idx="13">
                    <c:v>2x1000</c:v>
                  </c:pt>
                </c:lvl>
              </c:multiLvlStrCache>
            </c:multiLvlStrRef>
          </c:cat>
          <c:val>
            <c:numRef>
              <c:f>Sheet2!$J$4:$J$17</c:f>
              <c:numCache>
                <c:formatCode>0%</c:formatCode>
                <c:ptCount val="14"/>
                <c:pt idx="0">
                  <c:v>0.15606730482622577</c:v>
                </c:pt>
                <c:pt idx="1">
                  <c:v>0.1248768596105959</c:v>
                </c:pt>
                <c:pt idx="2">
                  <c:v>0.15216937762062216</c:v>
                </c:pt>
                <c:pt idx="3">
                  <c:v>0.12959885925512399</c:v>
                </c:pt>
                <c:pt idx="4">
                  <c:v>0.16438482366438745</c:v>
                </c:pt>
                <c:pt idx="5">
                  <c:v>0.13789731321324999</c:v>
                </c:pt>
                <c:pt idx="6">
                  <c:v>0.16195605046725736</c:v>
                </c:pt>
                <c:pt idx="7">
                  <c:v>0.1270887796335502</c:v>
                </c:pt>
                <c:pt idx="8">
                  <c:v>0.1667696891841422</c:v>
                </c:pt>
                <c:pt idx="9">
                  <c:v>0.15891417942679711</c:v>
                </c:pt>
                <c:pt idx="10">
                  <c:v>0.17468098699267431</c:v>
                </c:pt>
                <c:pt idx="11">
                  <c:v>0.1487676480101672</c:v>
                </c:pt>
                <c:pt idx="12">
                  <c:v>0.15678804747846445</c:v>
                </c:pt>
                <c:pt idx="13">
                  <c:v>0.12576362102375568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722496"/>
        <c:axId val="175724032"/>
      </c:barChart>
      <c:catAx>
        <c:axId val="17572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724032"/>
        <c:crosses val="autoZero"/>
        <c:auto val="1"/>
        <c:lblAlgn val="ctr"/>
        <c:lblOffset val="100"/>
        <c:noMultiLvlLbl val="0"/>
      </c:catAx>
      <c:valAx>
        <c:axId val="175724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5722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6289344017343"/>
          <c:y val="5.1211140488573545E-2"/>
          <c:w val="5.2438489319461719E-2"/>
          <c:h val="0.12573949351162028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green'!$AO$52:$AU$52</c:f>
              <c:numCache>
                <c:formatCode>General</c:formatCode>
                <c:ptCount val="7"/>
                <c:pt idx="0">
                  <c:v>1.0181733608461037</c:v>
                </c:pt>
                <c:pt idx="1">
                  <c:v>1.1755768918006737</c:v>
                </c:pt>
                <c:pt idx="2">
                  <c:v>1.0678297381801085</c:v>
                </c:pt>
                <c:pt idx="3">
                  <c:v>1.0594462246085694</c:v>
                </c:pt>
                <c:pt idx="4">
                  <c:v>1.0483562149796279</c:v>
                </c:pt>
                <c:pt idx="5">
                  <c:v>1.0965571291480418</c:v>
                </c:pt>
                <c:pt idx="6">
                  <c:v>1.0999107939339854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green'!$AO$59:$AU$59</c:f>
              <c:numCache>
                <c:formatCode>General</c:formatCode>
                <c:ptCount val="7"/>
                <c:pt idx="0">
                  <c:v>1.0326775360523317</c:v>
                </c:pt>
                <c:pt idx="1">
                  <c:v>1.2790471054805941</c:v>
                </c:pt>
                <c:pt idx="2">
                  <c:v>1.1220935287241953</c:v>
                </c:pt>
                <c:pt idx="3">
                  <c:v>1.107003204295425</c:v>
                </c:pt>
                <c:pt idx="4">
                  <c:v>1.1002938498922341</c:v>
                </c:pt>
                <c:pt idx="5">
                  <c:v>1.0965571291480414</c:v>
                </c:pt>
                <c:pt idx="6">
                  <c:v>1.0999107939339876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91680"/>
        <c:axId val="169201664"/>
      </c:barChart>
      <c:catAx>
        <c:axId val="169191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201664"/>
        <c:crosses val="autoZero"/>
        <c:auto val="1"/>
        <c:lblAlgn val="ctr"/>
        <c:lblOffset val="100"/>
        <c:noMultiLvlLbl val="0"/>
      </c:catAx>
      <c:valAx>
        <c:axId val="16920166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LNG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191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green'!$AO$53:$AU$53</c:f>
              <c:numCache>
                <c:formatCode>General</c:formatCode>
                <c:ptCount val="7"/>
                <c:pt idx="0">
                  <c:v>1.0106367500392841</c:v>
                </c:pt>
                <c:pt idx="1">
                  <c:v>1.0627018633540379</c:v>
                </c:pt>
                <c:pt idx="2">
                  <c:v>1.0495577094998352</c:v>
                </c:pt>
                <c:pt idx="3">
                  <c:v>1.0542831402154405</c:v>
                </c:pt>
                <c:pt idx="4">
                  <c:v>1.0527922788277533</c:v>
                </c:pt>
                <c:pt idx="5">
                  <c:v>1.0965571291480409</c:v>
                </c:pt>
                <c:pt idx="6">
                  <c:v>1.083248083277969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green'!$AO$60:$AU$60</c:f>
              <c:numCache>
                <c:formatCode>General</c:formatCode>
                <c:ptCount val="7"/>
                <c:pt idx="0">
                  <c:v>1.0178783909904008</c:v>
                </c:pt>
                <c:pt idx="1">
                  <c:v>1.062701863354037</c:v>
                </c:pt>
                <c:pt idx="2">
                  <c:v>1.110140271480069</c:v>
                </c:pt>
                <c:pt idx="3">
                  <c:v>1.0977096523877929</c:v>
                </c:pt>
                <c:pt idx="4">
                  <c:v>1.0928254018839156</c:v>
                </c:pt>
                <c:pt idx="5">
                  <c:v>1.0965571291480403</c:v>
                </c:pt>
                <c:pt idx="6">
                  <c:v>1.1447264814152069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96640"/>
        <c:axId val="169298176"/>
      </c:barChart>
      <c:catAx>
        <c:axId val="169296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298176"/>
        <c:crosses val="autoZero"/>
        <c:auto val="1"/>
        <c:lblAlgn val="ctr"/>
        <c:lblOffset val="100"/>
        <c:noMultiLvlLbl val="0"/>
      </c:catAx>
      <c:valAx>
        <c:axId val="16929817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DZ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296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green'!$AO$54:$AU$54</c:f>
              <c:numCache>
                <c:formatCode>General</c:formatCode>
                <c:ptCount val="7"/>
                <c:pt idx="0">
                  <c:v>1</c:v>
                </c:pt>
                <c:pt idx="1">
                  <c:v>1.1013234062292743</c:v>
                </c:pt>
                <c:pt idx="2">
                  <c:v>1.0472177080414684</c:v>
                </c:pt>
                <c:pt idx="3">
                  <c:v>1.0420567293699183</c:v>
                </c:pt>
                <c:pt idx="4">
                  <c:v>1.0422216344542821</c:v>
                </c:pt>
                <c:pt idx="5">
                  <c:v>1.0965571291480409</c:v>
                </c:pt>
                <c:pt idx="6">
                  <c:v>1.0634741124471716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green'!$AO$61:$AU$61</c:f>
              <c:numCache>
                <c:formatCode>General</c:formatCode>
                <c:ptCount val="7"/>
                <c:pt idx="0">
                  <c:v>1</c:v>
                </c:pt>
                <c:pt idx="1">
                  <c:v>1.2026468124585488</c:v>
                </c:pt>
                <c:pt idx="2">
                  <c:v>1.0944354160829364</c:v>
                </c:pt>
                <c:pt idx="3">
                  <c:v>1.0841134587398367</c:v>
                </c:pt>
                <c:pt idx="4">
                  <c:v>1.0832092752122802</c:v>
                </c:pt>
                <c:pt idx="5">
                  <c:v>1.0965571291480409</c:v>
                </c:pt>
                <c:pt idx="6">
                  <c:v>1.1269482248943434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36832"/>
        <c:axId val="169338368"/>
      </c:barChart>
      <c:catAx>
        <c:axId val="169336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338368"/>
        <c:crosses val="autoZero"/>
        <c:auto val="1"/>
        <c:lblAlgn val="ctr"/>
        <c:lblOffset val="100"/>
        <c:noMultiLvlLbl val="0"/>
      </c:catAx>
      <c:valAx>
        <c:axId val="16933836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AZ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336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green'!$AO$55:$AU$55</c:f>
              <c:numCache>
                <c:formatCode>General</c:formatCode>
                <c:ptCount val="7"/>
                <c:pt idx="0">
                  <c:v>1.0070544327973134</c:v>
                </c:pt>
                <c:pt idx="1">
                  <c:v>1.1013234062292743</c:v>
                </c:pt>
                <c:pt idx="2">
                  <c:v>1.0008928571428573</c:v>
                </c:pt>
                <c:pt idx="3">
                  <c:v>1.0420567293699183</c:v>
                </c:pt>
                <c:pt idx="4">
                  <c:v>1.0517005234479906</c:v>
                </c:pt>
                <c:pt idx="5">
                  <c:v>1.0965571291480407</c:v>
                </c:pt>
                <c:pt idx="6">
                  <c:v>1.0671950795671792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green'!$AO$62:$AU$62</c:f>
              <c:numCache>
                <c:formatCode>General</c:formatCode>
                <c:ptCount val="7"/>
                <c:pt idx="0">
                  <c:v>1.0142446444679514</c:v>
                </c:pt>
                <c:pt idx="1">
                  <c:v>1.2026468124585488</c:v>
                </c:pt>
                <c:pt idx="2">
                  <c:v>1.0008928571428573</c:v>
                </c:pt>
                <c:pt idx="3">
                  <c:v>1.089913064031466</c:v>
                </c:pt>
                <c:pt idx="4">
                  <c:v>1.0930609422063831</c:v>
                </c:pt>
                <c:pt idx="5">
                  <c:v>1.0965571291480398</c:v>
                </c:pt>
                <c:pt idx="6">
                  <c:v>1.1269482248943434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6736"/>
        <c:axId val="169238528"/>
      </c:barChart>
      <c:catAx>
        <c:axId val="169236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238528"/>
        <c:crosses val="autoZero"/>
        <c:auto val="1"/>
        <c:lblAlgn val="ctr"/>
        <c:lblOffset val="100"/>
        <c:noMultiLvlLbl val="0"/>
      </c:catAx>
      <c:valAx>
        <c:axId val="16923852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LY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236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green'!$S$48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green'!$S$49:$S$55</c:f>
              <c:numCache>
                <c:formatCode>General</c:formatCode>
                <c:ptCount val="7"/>
                <c:pt idx="0">
                  <c:v>6128</c:v>
                </c:pt>
                <c:pt idx="1">
                  <c:v>6128.0000000000109</c:v>
                </c:pt>
                <c:pt idx="2">
                  <c:v>6128.0000000000055</c:v>
                </c:pt>
                <c:pt idx="3">
                  <c:v>6128.0000000000127</c:v>
                </c:pt>
                <c:pt idx="4">
                  <c:v>6128.0000000000146</c:v>
                </c:pt>
                <c:pt idx="5">
                  <c:v>6128.0000000000073</c:v>
                </c:pt>
                <c:pt idx="6">
                  <c:v>6128.0000000000055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green'!$M$49:$M$55</c:f>
              <c:numCache>
                <c:formatCode>General</c:formatCode>
                <c:ptCount val="7"/>
                <c:pt idx="0">
                  <c:v>5089.2924710424713</c:v>
                </c:pt>
                <c:pt idx="1">
                  <c:v>6123.9999999999964</c:v>
                </c:pt>
                <c:pt idx="2">
                  <c:v>4714.7242277992282</c:v>
                </c:pt>
                <c:pt idx="3">
                  <c:v>4500.6852316602317</c:v>
                </c:pt>
                <c:pt idx="4">
                  <c:v>4928.7632239382237</c:v>
                </c:pt>
                <c:pt idx="5">
                  <c:v>5089.2924710424713</c:v>
                </c:pt>
                <c:pt idx="6">
                  <c:v>5089.2924710424713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green'!$N$49:$N$55</c:f>
              <c:numCache>
                <c:formatCode>General</c:formatCode>
                <c:ptCount val="7"/>
                <c:pt idx="0">
                  <c:v>9579.5770557528922</c:v>
                </c:pt>
                <c:pt idx="1">
                  <c:v>9216.0073167145929</c:v>
                </c:pt>
                <c:pt idx="2">
                  <c:v>11503.999999999985</c:v>
                </c:pt>
                <c:pt idx="3">
                  <c:v>8583.8724051737081</c:v>
                </c:pt>
                <c:pt idx="4">
                  <c:v>9293.3254826254815</c:v>
                </c:pt>
                <c:pt idx="5">
                  <c:v>9575.8784071042355</c:v>
                </c:pt>
                <c:pt idx="6">
                  <c:v>9489.5718146718136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green'!$O$49:$O$55</c:f>
              <c:numCache>
                <c:formatCode>General</c:formatCode>
                <c:ptCount val="7"/>
                <c:pt idx="0">
                  <c:v>8833.0024131274149</c:v>
                </c:pt>
                <c:pt idx="1">
                  <c:v>8366.3772197332746</c:v>
                </c:pt>
                <c:pt idx="2">
                  <c:v>7851.835183397684</c:v>
                </c:pt>
                <c:pt idx="3">
                  <c:v>11210.000000000022</c:v>
                </c:pt>
                <c:pt idx="4">
                  <c:v>8411.94689166022</c:v>
                </c:pt>
                <c:pt idx="5">
                  <c:v>8833.0024131274149</c:v>
                </c:pt>
                <c:pt idx="6">
                  <c:v>8802.2045654053982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green'!$P$49:$P$55</c:f>
              <c:numCache>
                <c:formatCode>General</c:formatCode>
                <c:ptCount val="7"/>
                <c:pt idx="0">
                  <c:v>2324.278957528958</c:v>
                </c:pt>
                <c:pt idx="1">
                  <c:v>2147.6510617760619</c:v>
                </c:pt>
                <c:pt idx="2">
                  <c:v>1869.0918646332148</c:v>
                </c:pt>
                <c:pt idx="3">
                  <c:v>1676.64333976834</c:v>
                </c:pt>
                <c:pt idx="4">
                  <c:v>3219.9999999999982</c:v>
                </c:pt>
                <c:pt idx="5">
                  <c:v>2324.278957528958</c:v>
                </c:pt>
                <c:pt idx="6">
                  <c:v>2324.278957528958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green'!$R$49:$R$55</c:f>
              <c:numCache>
                <c:formatCode>General</c:formatCode>
                <c:ptCount val="7"/>
                <c:pt idx="0">
                  <c:v>524.30135135135129</c:v>
                </c:pt>
                <c:pt idx="1">
                  <c:v>522.44290540540533</c:v>
                </c:pt>
                <c:pt idx="2">
                  <c:v>516.88581081081077</c:v>
                </c:pt>
                <c:pt idx="3">
                  <c:v>511.31047297297295</c:v>
                </c:pt>
                <c:pt idx="4">
                  <c:v>522.44290540540533</c:v>
                </c:pt>
                <c:pt idx="5">
                  <c:v>528</c:v>
                </c:pt>
                <c:pt idx="6">
                  <c:v>524.30135135135129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green'!$Q$49:$Q$55</c:f>
              <c:numCache>
                <c:formatCode>General</c:formatCode>
                <c:ptCount val="7"/>
                <c:pt idx="0">
                  <c:v>551.19691119691106</c:v>
                </c:pt>
                <c:pt idx="1">
                  <c:v>525.17065637065639</c:v>
                </c:pt>
                <c:pt idx="2">
                  <c:v>505.59907335907337</c:v>
                </c:pt>
                <c:pt idx="3">
                  <c:v>479.62471042471043</c:v>
                </c:pt>
                <c:pt idx="4">
                  <c:v>525.17065637065639</c:v>
                </c:pt>
                <c:pt idx="5">
                  <c:v>551.19691119691106</c:v>
                </c:pt>
                <c:pt idx="6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481344"/>
        <c:axId val="169482880"/>
      </c:barChart>
      <c:catAx>
        <c:axId val="16948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482880"/>
        <c:crosses val="autoZero"/>
        <c:auto val="1"/>
        <c:lblAlgn val="ctr"/>
        <c:lblOffset val="100"/>
        <c:noMultiLvlLbl val="0"/>
      </c:catAx>
      <c:valAx>
        <c:axId val="169482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481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2x500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green'!$S$48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green'!$S$49:$S$55</c:f>
              <c:numCache>
                <c:formatCode>General</c:formatCode>
                <c:ptCount val="7"/>
                <c:pt idx="0">
                  <c:v>6128</c:v>
                </c:pt>
                <c:pt idx="1">
                  <c:v>6128.0000000000109</c:v>
                </c:pt>
                <c:pt idx="2">
                  <c:v>6128.0000000000055</c:v>
                </c:pt>
                <c:pt idx="3">
                  <c:v>6128.0000000000127</c:v>
                </c:pt>
                <c:pt idx="4">
                  <c:v>6128.0000000000146</c:v>
                </c:pt>
                <c:pt idx="5">
                  <c:v>6128.0000000000073</c:v>
                </c:pt>
                <c:pt idx="6">
                  <c:v>6128.0000000000055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green'!$M$49:$M$55</c:f>
              <c:numCache>
                <c:formatCode>General</c:formatCode>
                <c:ptCount val="7"/>
                <c:pt idx="0">
                  <c:v>5089.2924710424713</c:v>
                </c:pt>
                <c:pt idx="1">
                  <c:v>6123.9999999999964</c:v>
                </c:pt>
                <c:pt idx="2">
                  <c:v>4714.7242277992282</c:v>
                </c:pt>
                <c:pt idx="3">
                  <c:v>4500.6852316602317</c:v>
                </c:pt>
                <c:pt idx="4">
                  <c:v>4928.7632239382237</c:v>
                </c:pt>
                <c:pt idx="5">
                  <c:v>5089.2924710424713</c:v>
                </c:pt>
                <c:pt idx="6">
                  <c:v>5089.2924710424713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green'!$N$49:$N$55</c:f>
              <c:numCache>
                <c:formatCode>General</c:formatCode>
                <c:ptCount val="7"/>
                <c:pt idx="0">
                  <c:v>9579.5770557528922</c:v>
                </c:pt>
                <c:pt idx="1">
                  <c:v>9216.0073167145929</c:v>
                </c:pt>
                <c:pt idx="2">
                  <c:v>11503.999999999985</c:v>
                </c:pt>
                <c:pt idx="3">
                  <c:v>8583.8724051737081</c:v>
                </c:pt>
                <c:pt idx="4">
                  <c:v>9293.3254826254815</c:v>
                </c:pt>
                <c:pt idx="5">
                  <c:v>9575.8784071042355</c:v>
                </c:pt>
                <c:pt idx="6">
                  <c:v>9489.5718146718136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green'!$O$49:$O$55</c:f>
              <c:numCache>
                <c:formatCode>General</c:formatCode>
                <c:ptCount val="7"/>
                <c:pt idx="0">
                  <c:v>8833.0024131274149</c:v>
                </c:pt>
                <c:pt idx="1">
                  <c:v>8366.3772197332746</c:v>
                </c:pt>
                <c:pt idx="2">
                  <c:v>7851.835183397684</c:v>
                </c:pt>
                <c:pt idx="3">
                  <c:v>11210.000000000022</c:v>
                </c:pt>
                <c:pt idx="4">
                  <c:v>8411.94689166022</c:v>
                </c:pt>
                <c:pt idx="5">
                  <c:v>8833.0024131274149</c:v>
                </c:pt>
                <c:pt idx="6">
                  <c:v>8802.2045654053982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green'!$P$49:$P$55</c:f>
              <c:numCache>
                <c:formatCode>General</c:formatCode>
                <c:ptCount val="7"/>
                <c:pt idx="0">
                  <c:v>2324.278957528958</c:v>
                </c:pt>
                <c:pt idx="1">
                  <c:v>2147.6510617760619</c:v>
                </c:pt>
                <c:pt idx="2">
                  <c:v>1869.0918646332148</c:v>
                </c:pt>
                <c:pt idx="3">
                  <c:v>1676.64333976834</c:v>
                </c:pt>
                <c:pt idx="4">
                  <c:v>3219.9999999999982</c:v>
                </c:pt>
                <c:pt idx="5">
                  <c:v>2324.278957528958</c:v>
                </c:pt>
                <c:pt idx="6">
                  <c:v>2324.278957528958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green'!$R$49:$R$55</c:f>
              <c:numCache>
                <c:formatCode>General</c:formatCode>
                <c:ptCount val="7"/>
                <c:pt idx="0">
                  <c:v>524.30135135135129</c:v>
                </c:pt>
                <c:pt idx="1">
                  <c:v>522.44290540540533</c:v>
                </c:pt>
                <c:pt idx="2">
                  <c:v>516.88581081081077</c:v>
                </c:pt>
                <c:pt idx="3">
                  <c:v>511.31047297297295</c:v>
                </c:pt>
                <c:pt idx="4">
                  <c:v>522.44290540540533</c:v>
                </c:pt>
                <c:pt idx="5">
                  <c:v>528</c:v>
                </c:pt>
                <c:pt idx="6">
                  <c:v>524.30135135135129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green'!$Q$49:$Q$55</c:f>
              <c:numCache>
                <c:formatCode>General</c:formatCode>
                <c:ptCount val="7"/>
                <c:pt idx="0">
                  <c:v>551.19691119691106</c:v>
                </c:pt>
                <c:pt idx="1">
                  <c:v>525.17065637065639</c:v>
                </c:pt>
                <c:pt idx="2">
                  <c:v>505.59907335907337</c:v>
                </c:pt>
                <c:pt idx="3">
                  <c:v>479.62471042471043</c:v>
                </c:pt>
                <c:pt idx="4">
                  <c:v>525.17065637065639</c:v>
                </c:pt>
                <c:pt idx="5">
                  <c:v>551.19691119691106</c:v>
                </c:pt>
                <c:pt idx="6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532416"/>
        <c:axId val="169550592"/>
      </c:barChart>
      <c:catAx>
        <c:axId val="16953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50592"/>
        <c:crosses val="autoZero"/>
        <c:auto val="1"/>
        <c:lblAlgn val="ctr"/>
        <c:lblOffset val="100"/>
        <c:noMultiLvlLbl val="0"/>
      </c:catAx>
      <c:valAx>
        <c:axId val="169550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9532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2953240120534975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2x1000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green'!$S$48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green'!$S$56:$S$62</c:f>
              <c:numCache>
                <c:formatCode>General</c:formatCode>
                <c:ptCount val="7"/>
                <c:pt idx="0">
                  <c:v>6128.0000000000027</c:v>
                </c:pt>
                <c:pt idx="1">
                  <c:v>6128.0000000000073</c:v>
                </c:pt>
                <c:pt idx="2">
                  <c:v>6128.0000000000027</c:v>
                </c:pt>
                <c:pt idx="3">
                  <c:v>6128.0000000000073</c:v>
                </c:pt>
                <c:pt idx="4">
                  <c:v>6128.0000000000082</c:v>
                </c:pt>
                <c:pt idx="5">
                  <c:v>6128.0000000000027</c:v>
                </c:pt>
                <c:pt idx="6">
                  <c:v>6128.0000000000018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green'!$M$56:$M$62</c:f>
              <c:numCache>
                <c:formatCode>General</c:formatCode>
                <c:ptCount val="7"/>
                <c:pt idx="0">
                  <c:v>5089.2924710424713</c:v>
                </c:pt>
                <c:pt idx="1">
                  <c:v>6123.9999999999991</c:v>
                </c:pt>
                <c:pt idx="2">
                  <c:v>4714.7242277992282</c:v>
                </c:pt>
                <c:pt idx="3">
                  <c:v>4500.6852316602317</c:v>
                </c:pt>
                <c:pt idx="4">
                  <c:v>4928.7632239382237</c:v>
                </c:pt>
                <c:pt idx="5">
                  <c:v>5089.2924710424713</c:v>
                </c:pt>
                <c:pt idx="6">
                  <c:v>5062.2115152123506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green'!$N$56:$N$62</c:f>
              <c:numCache>
                <c:formatCode>General</c:formatCode>
                <c:ptCount val="7"/>
                <c:pt idx="0">
                  <c:v>9583.2939476447827</c:v>
                </c:pt>
                <c:pt idx="1">
                  <c:v>9293.3254826254815</c:v>
                </c:pt>
                <c:pt idx="2">
                  <c:v>11504.000000000002</c:v>
                </c:pt>
                <c:pt idx="3">
                  <c:v>8535.4004746718092</c:v>
                </c:pt>
                <c:pt idx="4">
                  <c:v>9312.0401111567116</c:v>
                </c:pt>
                <c:pt idx="5">
                  <c:v>9575.878407104241</c:v>
                </c:pt>
                <c:pt idx="6">
                  <c:v>9489.5718146718136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green'!$O$56:$O$62</c:f>
              <c:numCache>
                <c:formatCode>General</c:formatCode>
                <c:ptCount val="7"/>
                <c:pt idx="0">
                  <c:v>8833.0024131274131</c:v>
                </c:pt>
                <c:pt idx="1">
                  <c:v>8412.1389109652464</c:v>
                </c:pt>
                <c:pt idx="2">
                  <c:v>7851.835183397684</c:v>
                </c:pt>
                <c:pt idx="3">
                  <c:v>11210</c:v>
                </c:pt>
                <c:pt idx="4">
                  <c:v>8450.9295913143214</c:v>
                </c:pt>
                <c:pt idx="5">
                  <c:v>8833.0024131274131</c:v>
                </c:pt>
                <c:pt idx="6">
                  <c:v>8833.0024131274131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green'!$P$56:$P$62</c:f>
              <c:numCache>
                <c:formatCode>General</c:formatCode>
                <c:ptCount val="7"/>
                <c:pt idx="0">
                  <c:v>2324.278957528958</c:v>
                </c:pt>
                <c:pt idx="1">
                  <c:v>2088.7750965250971</c:v>
                </c:pt>
                <c:pt idx="2">
                  <c:v>1877.4232256370578</c:v>
                </c:pt>
                <c:pt idx="3">
                  <c:v>1725.1335135135137</c:v>
                </c:pt>
                <c:pt idx="4">
                  <c:v>3220.0000000000009</c:v>
                </c:pt>
                <c:pt idx="5">
                  <c:v>2324.278957528958</c:v>
                </c:pt>
                <c:pt idx="6">
                  <c:v>2324.278957528958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green'!$R$56:$R$62</c:f>
              <c:numCache>
                <c:formatCode>General</c:formatCode>
                <c:ptCount val="7"/>
                <c:pt idx="0">
                  <c:v>520.58445945945937</c:v>
                </c:pt>
                <c:pt idx="1">
                  <c:v>518.72601351351352</c:v>
                </c:pt>
                <c:pt idx="2">
                  <c:v>515.0091216216216</c:v>
                </c:pt>
                <c:pt idx="3">
                  <c:v>511.29222972972968</c:v>
                </c:pt>
                <c:pt idx="4">
                  <c:v>518.72601351351352</c:v>
                </c:pt>
                <c:pt idx="5">
                  <c:v>528</c:v>
                </c:pt>
                <c:pt idx="6">
                  <c:v>520.58445945945937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green'!$Q$56:$Q$62</c:f>
              <c:numCache>
                <c:formatCode>General</c:formatCode>
                <c:ptCount val="7"/>
                <c:pt idx="0">
                  <c:v>551.19691119691106</c:v>
                </c:pt>
                <c:pt idx="1">
                  <c:v>525.17065637065639</c:v>
                </c:pt>
                <c:pt idx="2">
                  <c:v>499.14440154440149</c:v>
                </c:pt>
                <c:pt idx="3">
                  <c:v>479.62471042471043</c:v>
                </c:pt>
                <c:pt idx="4">
                  <c:v>531.67722007722</c:v>
                </c:pt>
                <c:pt idx="5">
                  <c:v>551.19691119691106</c:v>
                </c:pt>
                <c:pt idx="6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592320"/>
        <c:axId val="169593856"/>
      </c:barChart>
      <c:catAx>
        <c:axId val="16959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93856"/>
        <c:crosses val="autoZero"/>
        <c:auto val="1"/>
        <c:lblAlgn val="ctr"/>
        <c:lblOffset val="100"/>
        <c:noMultiLvlLbl val="0"/>
      </c:catAx>
      <c:valAx>
        <c:axId val="16959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592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2x1000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green'!$S$48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green'!$S$56:$S$62</c:f>
              <c:numCache>
                <c:formatCode>General</c:formatCode>
                <c:ptCount val="7"/>
                <c:pt idx="0">
                  <c:v>6128.0000000000027</c:v>
                </c:pt>
                <c:pt idx="1">
                  <c:v>6128.0000000000073</c:v>
                </c:pt>
                <c:pt idx="2">
                  <c:v>6128.0000000000027</c:v>
                </c:pt>
                <c:pt idx="3">
                  <c:v>6128.0000000000073</c:v>
                </c:pt>
                <c:pt idx="4">
                  <c:v>6128.0000000000082</c:v>
                </c:pt>
                <c:pt idx="5">
                  <c:v>6128.0000000000027</c:v>
                </c:pt>
                <c:pt idx="6">
                  <c:v>6128.0000000000018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green'!$M$56:$M$62</c:f>
              <c:numCache>
                <c:formatCode>General</c:formatCode>
                <c:ptCount val="7"/>
                <c:pt idx="0">
                  <c:v>5089.2924710424713</c:v>
                </c:pt>
                <c:pt idx="1">
                  <c:v>6123.9999999999991</c:v>
                </c:pt>
                <c:pt idx="2">
                  <c:v>4714.7242277992282</c:v>
                </c:pt>
                <c:pt idx="3">
                  <c:v>4500.6852316602317</c:v>
                </c:pt>
                <c:pt idx="4">
                  <c:v>4928.7632239382237</c:v>
                </c:pt>
                <c:pt idx="5">
                  <c:v>5089.2924710424713</c:v>
                </c:pt>
                <c:pt idx="6">
                  <c:v>5062.2115152123506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green'!$N$56:$N$62</c:f>
              <c:numCache>
                <c:formatCode>General</c:formatCode>
                <c:ptCount val="7"/>
                <c:pt idx="0">
                  <c:v>9583.2939476447827</c:v>
                </c:pt>
                <c:pt idx="1">
                  <c:v>9293.3254826254815</c:v>
                </c:pt>
                <c:pt idx="2">
                  <c:v>11504.000000000002</c:v>
                </c:pt>
                <c:pt idx="3">
                  <c:v>8535.4004746718092</c:v>
                </c:pt>
                <c:pt idx="4">
                  <c:v>9312.0401111567116</c:v>
                </c:pt>
                <c:pt idx="5">
                  <c:v>9575.878407104241</c:v>
                </c:pt>
                <c:pt idx="6">
                  <c:v>9489.5718146718136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green'!$O$56:$O$62</c:f>
              <c:numCache>
                <c:formatCode>General</c:formatCode>
                <c:ptCount val="7"/>
                <c:pt idx="0">
                  <c:v>8833.0024131274131</c:v>
                </c:pt>
                <c:pt idx="1">
                  <c:v>8412.1389109652464</c:v>
                </c:pt>
                <c:pt idx="2">
                  <c:v>7851.835183397684</c:v>
                </c:pt>
                <c:pt idx="3">
                  <c:v>11210</c:v>
                </c:pt>
                <c:pt idx="4">
                  <c:v>8450.9295913143214</c:v>
                </c:pt>
                <c:pt idx="5">
                  <c:v>8833.0024131274131</c:v>
                </c:pt>
                <c:pt idx="6">
                  <c:v>8833.0024131274131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green'!$P$56:$P$62</c:f>
              <c:numCache>
                <c:formatCode>General</c:formatCode>
                <c:ptCount val="7"/>
                <c:pt idx="0">
                  <c:v>2324.278957528958</c:v>
                </c:pt>
                <c:pt idx="1">
                  <c:v>2088.7750965250971</c:v>
                </c:pt>
                <c:pt idx="2">
                  <c:v>1877.4232256370578</c:v>
                </c:pt>
                <c:pt idx="3">
                  <c:v>1725.1335135135137</c:v>
                </c:pt>
                <c:pt idx="4">
                  <c:v>3220.0000000000009</c:v>
                </c:pt>
                <c:pt idx="5">
                  <c:v>2324.278957528958</c:v>
                </c:pt>
                <c:pt idx="6">
                  <c:v>2324.278957528958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green'!$R$56:$R$62</c:f>
              <c:numCache>
                <c:formatCode>General</c:formatCode>
                <c:ptCount val="7"/>
                <c:pt idx="0">
                  <c:v>520.58445945945937</c:v>
                </c:pt>
                <c:pt idx="1">
                  <c:v>518.72601351351352</c:v>
                </c:pt>
                <c:pt idx="2">
                  <c:v>515.0091216216216</c:v>
                </c:pt>
                <c:pt idx="3">
                  <c:v>511.29222972972968</c:v>
                </c:pt>
                <c:pt idx="4">
                  <c:v>518.72601351351352</c:v>
                </c:pt>
                <c:pt idx="5">
                  <c:v>528</c:v>
                </c:pt>
                <c:pt idx="6">
                  <c:v>520.58445945945937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green'!$Q$56:$Q$62</c:f>
              <c:numCache>
                <c:formatCode>General</c:formatCode>
                <c:ptCount val="7"/>
                <c:pt idx="0">
                  <c:v>551.19691119691106</c:v>
                </c:pt>
                <c:pt idx="1">
                  <c:v>525.17065637065639</c:v>
                </c:pt>
                <c:pt idx="2">
                  <c:v>499.14440154440149</c:v>
                </c:pt>
                <c:pt idx="3">
                  <c:v>479.62471042471043</c:v>
                </c:pt>
                <c:pt idx="4">
                  <c:v>531.67722007722</c:v>
                </c:pt>
                <c:pt idx="5">
                  <c:v>551.19691119691106</c:v>
                </c:pt>
                <c:pt idx="6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717760"/>
        <c:axId val="169719296"/>
      </c:barChart>
      <c:catAx>
        <c:axId val="16971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19296"/>
        <c:crosses val="autoZero"/>
        <c:auto val="1"/>
        <c:lblAlgn val="ctr"/>
        <c:lblOffset val="100"/>
        <c:noMultiLvlLbl val="0"/>
      </c:catAx>
      <c:valAx>
        <c:axId val="1697192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971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green'!$AO$49:$AO$55</c:f>
              <c:numCache>
                <c:formatCode>General</c:formatCode>
                <c:ptCount val="7"/>
                <c:pt idx="0">
                  <c:v>1.0070544327973134</c:v>
                </c:pt>
                <c:pt idx="1">
                  <c:v>1.0106367500392841</c:v>
                </c:pt>
                <c:pt idx="2">
                  <c:v>1.0143818685448587</c:v>
                </c:pt>
                <c:pt idx="3">
                  <c:v>1.0181733608461037</c:v>
                </c:pt>
                <c:pt idx="4">
                  <c:v>1.0106367500392841</c:v>
                </c:pt>
                <c:pt idx="5">
                  <c:v>1</c:v>
                </c:pt>
                <c:pt idx="6">
                  <c:v>1.0070544327973134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green'!$AO$56:$AO$62</c:f>
              <c:numCache>
                <c:formatCode>General</c:formatCode>
                <c:ptCount val="7"/>
                <c:pt idx="0">
                  <c:v>1.0142446444679514</c:v>
                </c:pt>
                <c:pt idx="1">
                  <c:v>1.0178783909904008</c:v>
                </c:pt>
                <c:pt idx="2">
                  <c:v>1.0252245597854146</c:v>
                </c:pt>
                <c:pt idx="3">
                  <c:v>1.0326775360523317</c:v>
                </c:pt>
                <c:pt idx="4">
                  <c:v>1.0178783909904008</c:v>
                </c:pt>
                <c:pt idx="5">
                  <c:v>1</c:v>
                </c:pt>
                <c:pt idx="6">
                  <c:v>1.0142446444679514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21664"/>
        <c:axId val="169123200"/>
      </c:barChart>
      <c:catAx>
        <c:axId val="169121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123200"/>
        <c:crosses val="autoZero"/>
        <c:auto val="1"/>
        <c:lblAlgn val="ctr"/>
        <c:lblOffset val="100"/>
        <c:noMultiLvlLbl val="0"/>
      </c:catAx>
      <c:valAx>
        <c:axId val="169123200"/>
        <c:scaling>
          <c:orientation val="minMax"/>
          <c:min val="0.98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AZ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121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2x1000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green'!$AK$48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green'!$AK$56:$AK$62</c:f>
              <c:numCache>
                <c:formatCode>General</c:formatCode>
                <c:ptCount val="7"/>
                <c:pt idx="0">
                  <c:v>3359.8510437095965</c:v>
                </c:pt>
                <c:pt idx="1">
                  <c:v>3359.851043709602</c:v>
                </c:pt>
                <c:pt idx="2">
                  <c:v>3359.8510437095974</c:v>
                </c:pt>
                <c:pt idx="3">
                  <c:v>3359.8510437096029</c:v>
                </c:pt>
                <c:pt idx="4">
                  <c:v>3359.8510437096002</c:v>
                </c:pt>
                <c:pt idx="5">
                  <c:v>3359.8510437095988</c:v>
                </c:pt>
                <c:pt idx="6">
                  <c:v>3359.8510437095952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green'!$AG$56:$AG$62</c:f>
              <c:numCache>
                <c:formatCode>General</c:formatCode>
                <c:ptCount val="7"/>
                <c:pt idx="0">
                  <c:v>2758.6852316602317</c:v>
                </c:pt>
                <c:pt idx="1">
                  <c:v>3368.2000000000003</c:v>
                </c:pt>
                <c:pt idx="2">
                  <c:v>2598.1559845559846</c:v>
                </c:pt>
                <c:pt idx="3">
                  <c:v>2491.1364864864868</c:v>
                </c:pt>
                <c:pt idx="4">
                  <c:v>2705.1754826254828</c:v>
                </c:pt>
                <c:pt idx="5">
                  <c:v>2758.6852316602317</c:v>
                </c:pt>
                <c:pt idx="6">
                  <c:v>2758.6852316602317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green'!$AI$56:$AI$62</c:f>
              <c:numCache>
                <c:formatCode>General</c:formatCode>
                <c:ptCount val="7"/>
                <c:pt idx="0">
                  <c:v>5186.340154440154</c:v>
                </c:pt>
                <c:pt idx="1">
                  <c:v>5088.216988416988</c:v>
                </c:pt>
                <c:pt idx="2">
                  <c:v>6327.2000000000007</c:v>
                </c:pt>
                <c:pt idx="3">
                  <c:v>4695.7243243243238</c:v>
                </c:pt>
                <c:pt idx="4">
                  <c:v>5088.216988416988</c:v>
                </c:pt>
                <c:pt idx="5">
                  <c:v>5186.340154440154</c:v>
                </c:pt>
                <c:pt idx="6">
                  <c:v>5186.340154440154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green'!$AM$56:$AM$62</c:f>
              <c:numCache>
                <c:formatCode>General</c:formatCode>
                <c:ptCount val="7"/>
                <c:pt idx="0">
                  <c:v>4977.1681949806953</c:v>
                </c:pt>
                <c:pt idx="1">
                  <c:v>4836.6381870270225</c:v>
                </c:pt>
                <c:pt idx="2">
                  <c:v>4556.667953667954</c:v>
                </c:pt>
                <c:pt idx="3">
                  <c:v>6165</c:v>
                </c:pt>
                <c:pt idx="4">
                  <c:v>4837.0014478764479</c:v>
                </c:pt>
                <c:pt idx="5">
                  <c:v>4977.1681949806953</c:v>
                </c:pt>
                <c:pt idx="6">
                  <c:v>4977.1681949806953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green'!$AC$56:$AC$62</c:f>
              <c:numCache>
                <c:formatCode>General</c:formatCode>
                <c:ptCount val="7"/>
                <c:pt idx="0">
                  <c:v>1397.64333976834</c:v>
                </c:pt>
                <c:pt idx="1">
                  <c:v>1279.8914092664095</c:v>
                </c:pt>
                <c:pt idx="2">
                  <c:v>1186.291468880301</c:v>
                </c:pt>
                <c:pt idx="3">
                  <c:v>1103.2635135135135</c:v>
                </c:pt>
                <c:pt idx="4">
                  <c:v>1710.95</c:v>
                </c:pt>
                <c:pt idx="5">
                  <c:v>1397.64333976834</c:v>
                </c:pt>
                <c:pt idx="6">
                  <c:v>1397.64333976834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green'!$AA$56:$AA$62</c:f>
              <c:numCache>
                <c:formatCode>General</c:formatCode>
                <c:ptCount val="7"/>
                <c:pt idx="0">
                  <c:v>264</c:v>
                </c:pt>
                <c:pt idx="1">
                  <c:v>264</c:v>
                </c:pt>
                <c:pt idx="2">
                  <c:v>264</c:v>
                </c:pt>
                <c:pt idx="3">
                  <c:v>264</c:v>
                </c:pt>
                <c:pt idx="4">
                  <c:v>264</c:v>
                </c:pt>
                <c:pt idx="5">
                  <c:v>264</c:v>
                </c:pt>
                <c:pt idx="6">
                  <c:v>264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green'!$AE$56:$AE$62</c:f>
              <c:numCache>
                <c:formatCode>General</c:formatCode>
                <c:ptCount val="7"/>
                <c:pt idx="0">
                  <c:v>301.62471042471037</c:v>
                </c:pt>
                <c:pt idx="1">
                  <c:v>288.61158301158298</c:v>
                </c:pt>
                <c:pt idx="2">
                  <c:v>275.59845559845559</c:v>
                </c:pt>
                <c:pt idx="3">
                  <c:v>269.09189189189186</c:v>
                </c:pt>
                <c:pt idx="4">
                  <c:v>295.1181467181467</c:v>
                </c:pt>
                <c:pt idx="5">
                  <c:v>301.62471042471037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vs. 2x1000 green'!$K$48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vs. 2x1000 green'!$K$56:$K$62</c:f>
              <c:numCache>
                <c:formatCode>General</c:formatCode>
                <c:ptCount val="7"/>
                <c:pt idx="0">
                  <c:v>2928</c:v>
                </c:pt>
                <c:pt idx="1">
                  <c:v>2688</c:v>
                </c:pt>
                <c:pt idx="2">
                  <c:v>2606</c:v>
                </c:pt>
                <c:pt idx="3">
                  <c:v>2826</c:v>
                </c:pt>
                <c:pt idx="4">
                  <c:v>2913</c:v>
                </c:pt>
                <c:pt idx="5">
                  <c:v>2928</c:v>
                </c:pt>
                <c:pt idx="6">
                  <c:v>2893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757696"/>
        <c:axId val="169767680"/>
      </c:barChart>
      <c:catAx>
        <c:axId val="16975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67680"/>
        <c:crosses val="autoZero"/>
        <c:auto val="1"/>
        <c:lblAlgn val="ctr"/>
        <c:lblOffset val="100"/>
        <c:noMultiLvlLbl val="0"/>
      </c:catAx>
      <c:valAx>
        <c:axId val="169767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75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green'!$AJ$48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green'!$AJ$49:$AJ$55</c:f>
              <c:numCache>
                <c:formatCode>General</c:formatCode>
                <c:ptCount val="7"/>
                <c:pt idx="0">
                  <c:v>2768.1489562904085</c:v>
                </c:pt>
                <c:pt idx="1">
                  <c:v>2768.1489562904071</c:v>
                </c:pt>
                <c:pt idx="2">
                  <c:v>2768.1489562904048</c:v>
                </c:pt>
                <c:pt idx="3">
                  <c:v>2768.1489562904057</c:v>
                </c:pt>
                <c:pt idx="4">
                  <c:v>2768.1489562904085</c:v>
                </c:pt>
                <c:pt idx="5">
                  <c:v>2768.1489562904067</c:v>
                </c:pt>
                <c:pt idx="6">
                  <c:v>2768.1489562904057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green'!$AF$49:$AF$55</c:f>
              <c:numCache>
                <c:formatCode>General</c:formatCode>
                <c:ptCount val="7"/>
                <c:pt idx="0">
                  <c:v>2437.6267374517374</c:v>
                </c:pt>
                <c:pt idx="1">
                  <c:v>2755.7999999999961</c:v>
                </c:pt>
                <c:pt idx="2">
                  <c:v>2223.5877413127414</c:v>
                </c:pt>
                <c:pt idx="3">
                  <c:v>2116.5682432432432</c:v>
                </c:pt>
                <c:pt idx="4">
                  <c:v>2330.6072393822396</c:v>
                </c:pt>
                <c:pt idx="5">
                  <c:v>2437.6267374517374</c:v>
                </c:pt>
                <c:pt idx="6">
                  <c:v>2437.6267374517374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green'!$AH$49:$AH$55</c:f>
              <c:numCache>
                <c:formatCode>General</c:formatCode>
                <c:ptCount val="7"/>
                <c:pt idx="0">
                  <c:v>4589.4832333590703</c:v>
                </c:pt>
                <c:pt idx="1">
                  <c:v>4401.3548262548256</c:v>
                </c:pt>
                <c:pt idx="2">
                  <c:v>5176.7999999999847</c:v>
                </c:pt>
                <c:pt idx="3">
                  <c:v>4084.3944128957164</c:v>
                </c:pt>
                <c:pt idx="4">
                  <c:v>4401.3548262548256</c:v>
                </c:pt>
                <c:pt idx="5">
                  <c:v>4585.7845847104145</c:v>
                </c:pt>
                <c:pt idx="6">
                  <c:v>4499.4779922779917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green'!$AL$49:$AL$55</c:f>
              <c:numCache>
                <c:formatCode>General</c:formatCode>
                <c:ptCount val="7"/>
                <c:pt idx="0">
                  <c:v>4136.1677123552126</c:v>
                </c:pt>
                <c:pt idx="1">
                  <c:v>3855.8342181467183</c:v>
                </c:pt>
                <c:pt idx="2">
                  <c:v>3575.5007239382239</c:v>
                </c:pt>
                <c:pt idx="3">
                  <c:v>5045.0000000000227</c:v>
                </c:pt>
                <c:pt idx="4">
                  <c:v>3855.8342181467183</c:v>
                </c:pt>
                <c:pt idx="5">
                  <c:v>4136.1677123552126</c:v>
                </c:pt>
                <c:pt idx="6">
                  <c:v>4105.3698646331968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green'!$AB$49:$AB$55</c:f>
              <c:numCache>
                <c:formatCode>General</c:formatCode>
                <c:ptCount val="7"/>
                <c:pt idx="0">
                  <c:v>1044.3875482625483</c:v>
                </c:pt>
                <c:pt idx="1">
                  <c:v>926.63561776061783</c:v>
                </c:pt>
                <c:pt idx="2">
                  <c:v>808.88368725868736</c:v>
                </c:pt>
                <c:pt idx="3">
                  <c:v>691.13175675675677</c:v>
                </c:pt>
                <c:pt idx="4">
                  <c:v>1509.0499999999981</c:v>
                </c:pt>
                <c:pt idx="5">
                  <c:v>1044.3875482625483</c:v>
                </c:pt>
                <c:pt idx="6">
                  <c:v>1044.3875482625483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green'!$Z$49:$Z$55</c:f>
              <c:numCache>
                <c:formatCode>General</c:formatCode>
                <c:ptCount val="7"/>
                <c:pt idx="0">
                  <c:v>260.30135135135134</c:v>
                </c:pt>
                <c:pt idx="1">
                  <c:v>258.44290540540538</c:v>
                </c:pt>
                <c:pt idx="2">
                  <c:v>254.72601351351349</c:v>
                </c:pt>
                <c:pt idx="3">
                  <c:v>251.0091216216216</c:v>
                </c:pt>
                <c:pt idx="4">
                  <c:v>258.44290540540538</c:v>
                </c:pt>
                <c:pt idx="5">
                  <c:v>264</c:v>
                </c:pt>
                <c:pt idx="6">
                  <c:v>260.30135135135134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green'!$AD$49:$AD$55</c:f>
              <c:numCache>
                <c:formatCode>General</c:formatCode>
                <c:ptCount val="7"/>
                <c:pt idx="0">
                  <c:v>262.58532818532814</c:v>
                </c:pt>
                <c:pt idx="1">
                  <c:v>249.57220077220074</c:v>
                </c:pt>
                <c:pt idx="2">
                  <c:v>236.55907335907335</c:v>
                </c:pt>
                <c:pt idx="3">
                  <c:v>223.54594594594593</c:v>
                </c:pt>
                <c:pt idx="4">
                  <c:v>249.57220077220074</c:v>
                </c:pt>
                <c:pt idx="5">
                  <c:v>262.58532818532814</c:v>
                </c:pt>
                <c:pt idx="6">
                  <c:v>335.7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822464"/>
        <c:axId val="169828352"/>
      </c:barChart>
      <c:catAx>
        <c:axId val="16982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28352"/>
        <c:crosses val="autoZero"/>
        <c:auto val="1"/>
        <c:lblAlgn val="ctr"/>
        <c:lblOffset val="100"/>
        <c:noMultiLvlLbl val="0"/>
      </c:catAx>
      <c:valAx>
        <c:axId val="169828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822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green'!$AK$48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green'!$AK$49:$AK$55</c:f>
              <c:numCache>
                <c:formatCode>General</c:formatCode>
                <c:ptCount val="7"/>
                <c:pt idx="0">
                  <c:v>3359.8510437095911</c:v>
                </c:pt>
                <c:pt idx="1">
                  <c:v>3359.8510437096033</c:v>
                </c:pt>
                <c:pt idx="2">
                  <c:v>3359.8510437096006</c:v>
                </c:pt>
                <c:pt idx="3">
                  <c:v>3359.8510437096074</c:v>
                </c:pt>
                <c:pt idx="4">
                  <c:v>3359.8510437096056</c:v>
                </c:pt>
                <c:pt idx="5">
                  <c:v>3359.8510437096011</c:v>
                </c:pt>
                <c:pt idx="6">
                  <c:v>3359.8510437095997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green'!$AG$49:$AG$55</c:f>
              <c:numCache>
                <c:formatCode>General</c:formatCode>
                <c:ptCount val="7"/>
                <c:pt idx="0">
                  <c:v>2651.6657335907339</c:v>
                </c:pt>
                <c:pt idx="1">
                  <c:v>3368.2000000000003</c:v>
                </c:pt>
                <c:pt idx="2">
                  <c:v>2491.1364864864868</c:v>
                </c:pt>
                <c:pt idx="3">
                  <c:v>2384.1169884169885</c:v>
                </c:pt>
                <c:pt idx="4">
                  <c:v>2598.1559845559846</c:v>
                </c:pt>
                <c:pt idx="5">
                  <c:v>2651.6657335907339</c:v>
                </c:pt>
                <c:pt idx="6">
                  <c:v>2651.6657335907339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green'!$AI$49:$AI$55</c:f>
              <c:numCache>
                <c:formatCode>General</c:formatCode>
                <c:ptCount val="7"/>
                <c:pt idx="0">
                  <c:v>4990.0938223938219</c:v>
                </c:pt>
                <c:pt idx="1">
                  <c:v>4814.6524904597682</c:v>
                </c:pt>
                <c:pt idx="2">
                  <c:v>6327.2000000000007</c:v>
                </c:pt>
                <c:pt idx="3">
                  <c:v>4499.4779922779917</c:v>
                </c:pt>
                <c:pt idx="4">
                  <c:v>4891.9706563706559</c:v>
                </c:pt>
                <c:pt idx="5">
                  <c:v>4990.0938223938219</c:v>
                </c:pt>
                <c:pt idx="6">
                  <c:v>4990.0938223938219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green'!$AM$49:$AM$55</c:f>
              <c:numCache>
                <c:formatCode>General</c:formatCode>
                <c:ptCount val="7"/>
                <c:pt idx="0">
                  <c:v>4696.8347007722014</c:v>
                </c:pt>
                <c:pt idx="1">
                  <c:v>4510.5430015865559</c:v>
                </c:pt>
                <c:pt idx="2">
                  <c:v>4276.33445945946</c:v>
                </c:pt>
                <c:pt idx="3">
                  <c:v>6165</c:v>
                </c:pt>
                <c:pt idx="4">
                  <c:v>4556.1126735135012</c:v>
                </c:pt>
                <c:pt idx="5">
                  <c:v>4696.8347007722014</c:v>
                </c:pt>
                <c:pt idx="6">
                  <c:v>4696.8347007722014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green'!$AC$49:$AC$55</c:f>
              <c:numCache>
                <c:formatCode>General</c:formatCode>
                <c:ptCount val="7"/>
                <c:pt idx="0">
                  <c:v>1279.8914092664095</c:v>
                </c:pt>
                <c:pt idx="1">
                  <c:v>1221.015444015444</c:v>
                </c:pt>
                <c:pt idx="2">
                  <c:v>1060.2081773745274</c:v>
                </c:pt>
                <c:pt idx="3">
                  <c:v>985.51158301158307</c:v>
                </c:pt>
                <c:pt idx="4">
                  <c:v>1710.95</c:v>
                </c:pt>
                <c:pt idx="5">
                  <c:v>1279.8914092664095</c:v>
                </c:pt>
                <c:pt idx="6">
                  <c:v>1279.8914092664095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green'!$AA$49:$AA$55</c:f>
              <c:numCache>
                <c:formatCode>General</c:formatCode>
                <c:ptCount val="7"/>
                <c:pt idx="0">
                  <c:v>264</c:v>
                </c:pt>
                <c:pt idx="1">
                  <c:v>264</c:v>
                </c:pt>
                <c:pt idx="2">
                  <c:v>262.15979729729725</c:v>
                </c:pt>
                <c:pt idx="3">
                  <c:v>260.30135135135134</c:v>
                </c:pt>
                <c:pt idx="4">
                  <c:v>264</c:v>
                </c:pt>
                <c:pt idx="5">
                  <c:v>264</c:v>
                </c:pt>
                <c:pt idx="6">
                  <c:v>264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green'!$AE$49:$AE$55</c:f>
              <c:numCache>
                <c:formatCode>General</c:formatCode>
                <c:ptCount val="7"/>
                <c:pt idx="0">
                  <c:v>288.61158301158298</c:v>
                </c:pt>
                <c:pt idx="1">
                  <c:v>275.59845559845559</c:v>
                </c:pt>
                <c:pt idx="2">
                  <c:v>269.04000000000002</c:v>
                </c:pt>
                <c:pt idx="3">
                  <c:v>256.07876447876447</c:v>
                </c:pt>
                <c:pt idx="4">
                  <c:v>275.59845559845559</c:v>
                </c:pt>
                <c:pt idx="5">
                  <c:v>288.61158301158298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vs. 2x1000 green'!$K$48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vs. 2x1000 green'!$K$49:$K$55</c:f>
              <c:numCache>
                <c:formatCode>General</c:formatCode>
                <c:ptCount val="7"/>
                <c:pt idx="0">
                  <c:v>3642</c:v>
                </c:pt>
                <c:pt idx="1">
                  <c:v>3360</c:v>
                </c:pt>
                <c:pt idx="2">
                  <c:v>3128</c:v>
                </c:pt>
                <c:pt idx="3">
                  <c:v>3263</c:v>
                </c:pt>
                <c:pt idx="4">
                  <c:v>3517</c:v>
                </c:pt>
                <c:pt idx="5">
                  <c:v>3642</c:v>
                </c:pt>
                <c:pt idx="6">
                  <c:v>3595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022400"/>
        <c:axId val="170023936"/>
      </c:barChart>
      <c:catAx>
        <c:axId val="17002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23936"/>
        <c:crosses val="autoZero"/>
        <c:auto val="1"/>
        <c:lblAlgn val="ctr"/>
        <c:lblOffset val="100"/>
        <c:noMultiLvlLbl val="0"/>
      </c:catAx>
      <c:valAx>
        <c:axId val="17002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0022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2x1000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green'!$AJ$48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green'!$AJ$56:$AJ$62</c:f>
              <c:numCache>
                <c:formatCode>General</c:formatCode>
                <c:ptCount val="7"/>
                <c:pt idx="0">
                  <c:v>2768.1489562904062</c:v>
                </c:pt>
                <c:pt idx="1">
                  <c:v>2768.1489562904053</c:v>
                </c:pt>
                <c:pt idx="2">
                  <c:v>2768.1489562904053</c:v>
                </c:pt>
                <c:pt idx="3">
                  <c:v>2768.1489562904044</c:v>
                </c:pt>
                <c:pt idx="4">
                  <c:v>2768.148956290408</c:v>
                </c:pt>
                <c:pt idx="5">
                  <c:v>2768.1489562904039</c:v>
                </c:pt>
                <c:pt idx="6">
                  <c:v>2768.1489562904067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green'!$AF$56:$AF$62</c:f>
              <c:numCache>
                <c:formatCode>General</c:formatCode>
                <c:ptCount val="7"/>
                <c:pt idx="0">
                  <c:v>2330.6072393822396</c:v>
                </c:pt>
                <c:pt idx="1">
                  <c:v>2755.7999999999988</c:v>
                </c:pt>
                <c:pt idx="2">
                  <c:v>2116.5682432432432</c:v>
                </c:pt>
                <c:pt idx="3">
                  <c:v>2009.5487451737451</c:v>
                </c:pt>
                <c:pt idx="4">
                  <c:v>2223.5877413127414</c:v>
                </c:pt>
                <c:pt idx="5">
                  <c:v>2330.6072393822396</c:v>
                </c:pt>
                <c:pt idx="6">
                  <c:v>2303.5262835521189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green'!$AH$56:$AH$62</c:f>
              <c:numCache>
                <c:formatCode>General</c:formatCode>
                <c:ptCount val="7"/>
                <c:pt idx="0">
                  <c:v>4396.9537932046287</c:v>
                </c:pt>
                <c:pt idx="1">
                  <c:v>4205.1084942084935</c:v>
                </c:pt>
                <c:pt idx="2">
                  <c:v>5176.8000000000011</c:v>
                </c:pt>
                <c:pt idx="3">
                  <c:v>3839.6761503474845</c:v>
                </c:pt>
                <c:pt idx="4">
                  <c:v>4223.8231227397246</c:v>
                </c:pt>
                <c:pt idx="5">
                  <c:v>4389.5382526640869</c:v>
                </c:pt>
                <c:pt idx="6">
                  <c:v>4303.2316602316596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green'!$AL$56:$AL$62</c:f>
              <c:numCache>
                <c:formatCode>General</c:formatCode>
                <c:ptCount val="7"/>
                <c:pt idx="0">
                  <c:v>3855.8342181467183</c:v>
                </c:pt>
                <c:pt idx="1">
                  <c:v>3575.5007239382239</c:v>
                </c:pt>
                <c:pt idx="2">
                  <c:v>3295.16722972973</c:v>
                </c:pt>
                <c:pt idx="3">
                  <c:v>5045</c:v>
                </c:pt>
                <c:pt idx="4">
                  <c:v>3613.9281434378731</c:v>
                </c:pt>
                <c:pt idx="5">
                  <c:v>3855.8342181467183</c:v>
                </c:pt>
                <c:pt idx="6">
                  <c:v>3855.8342181467183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green'!$AB$56:$AB$62</c:f>
              <c:numCache>
                <c:formatCode>General</c:formatCode>
                <c:ptCount val="7"/>
                <c:pt idx="0">
                  <c:v>926.63561776061783</c:v>
                </c:pt>
                <c:pt idx="1">
                  <c:v>808.88368725868736</c:v>
                </c:pt>
                <c:pt idx="2">
                  <c:v>691.13175675675677</c:v>
                </c:pt>
                <c:pt idx="3">
                  <c:v>621.87</c:v>
                </c:pt>
                <c:pt idx="4">
                  <c:v>1509.0500000000009</c:v>
                </c:pt>
                <c:pt idx="5">
                  <c:v>926.63561776061783</c:v>
                </c:pt>
                <c:pt idx="6">
                  <c:v>926.63561776061783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green'!$Z$56:$Z$62</c:f>
              <c:numCache>
                <c:formatCode>General</c:formatCode>
                <c:ptCount val="7"/>
                <c:pt idx="0">
                  <c:v>256.58445945945942</c:v>
                </c:pt>
                <c:pt idx="1">
                  <c:v>254.72601351351349</c:v>
                </c:pt>
                <c:pt idx="2">
                  <c:v>251.0091216216216</c:v>
                </c:pt>
                <c:pt idx="3">
                  <c:v>247.29222972972971</c:v>
                </c:pt>
                <c:pt idx="4">
                  <c:v>254.72601351351349</c:v>
                </c:pt>
                <c:pt idx="5">
                  <c:v>264</c:v>
                </c:pt>
                <c:pt idx="6">
                  <c:v>256.58445945945942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green'!$AD$56:$AD$62</c:f>
              <c:numCache>
                <c:formatCode>General</c:formatCode>
                <c:ptCount val="7"/>
                <c:pt idx="0">
                  <c:v>249.57220077220074</c:v>
                </c:pt>
                <c:pt idx="1">
                  <c:v>236.55907335907335</c:v>
                </c:pt>
                <c:pt idx="2">
                  <c:v>223.54594594594593</c:v>
                </c:pt>
                <c:pt idx="3">
                  <c:v>210.53281853281854</c:v>
                </c:pt>
                <c:pt idx="4">
                  <c:v>236.55907335907335</c:v>
                </c:pt>
                <c:pt idx="5">
                  <c:v>249.57220077220074</c:v>
                </c:pt>
                <c:pt idx="6">
                  <c:v>335.7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070400"/>
        <c:axId val="170071936"/>
      </c:barChart>
      <c:catAx>
        <c:axId val="17007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71936"/>
        <c:crosses val="autoZero"/>
        <c:auto val="1"/>
        <c:lblAlgn val="ctr"/>
        <c:lblOffset val="100"/>
        <c:noMultiLvlLbl val="0"/>
      </c:catAx>
      <c:valAx>
        <c:axId val="170071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007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green'!$AJ$48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green'!$AJ$49:$AJ$55</c:f>
              <c:numCache>
                <c:formatCode>General</c:formatCode>
                <c:ptCount val="7"/>
                <c:pt idx="0">
                  <c:v>2768.1489562904085</c:v>
                </c:pt>
                <c:pt idx="1">
                  <c:v>2768.1489562904071</c:v>
                </c:pt>
                <c:pt idx="2">
                  <c:v>2768.1489562904048</c:v>
                </c:pt>
                <c:pt idx="3">
                  <c:v>2768.1489562904057</c:v>
                </c:pt>
                <c:pt idx="4">
                  <c:v>2768.1489562904085</c:v>
                </c:pt>
                <c:pt idx="5">
                  <c:v>2768.1489562904067</c:v>
                </c:pt>
                <c:pt idx="6">
                  <c:v>2768.1489562904057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green'!$AF$49:$AF$55</c:f>
              <c:numCache>
                <c:formatCode>General</c:formatCode>
                <c:ptCount val="7"/>
                <c:pt idx="0">
                  <c:v>2437.6267374517374</c:v>
                </c:pt>
                <c:pt idx="1">
                  <c:v>2755.7999999999961</c:v>
                </c:pt>
                <c:pt idx="2">
                  <c:v>2223.5877413127414</c:v>
                </c:pt>
                <c:pt idx="3">
                  <c:v>2116.5682432432432</c:v>
                </c:pt>
                <c:pt idx="4">
                  <c:v>2330.6072393822396</c:v>
                </c:pt>
                <c:pt idx="5">
                  <c:v>2437.6267374517374</c:v>
                </c:pt>
                <c:pt idx="6">
                  <c:v>2437.6267374517374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green'!$AH$49:$AH$55</c:f>
              <c:numCache>
                <c:formatCode>General</c:formatCode>
                <c:ptCount val="7"/>
                <c:pt idx="0">
                  <c:v>4589.4832333590703</c:v>
                </c:pt>
                <c:pt idx="1">
                  <c:v>4401.3548262548256</c:v>
                </c:pt>
                <c:pt idx="2">
                  <c:v>5176.7999999999847</c:v>
                </c:pt>
                <c:pt idx="3">
                  <c:v>4084.3944128957164</c:v>
                </c:pt>
                <c:pt idx="4">
                  <c:v>4401.3548262548256</c:v>
                </c:pt>
                <c:pt idx="5">
                  <c:v>4585.7845847104145</c:v>
                </c:pt>
                <c:pt idx="6">
                  <c:v>4499.4779922779917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green'!$AL$49:$AL$55</c:f>
              <c:numCache>
                <c:formatCode>General</c:formatCode>
                <c:ptCount val="7"/>
                <c:pt idx="0">
                  <c:v>4136.1677123552126</c:v>
                </c:pt>
                <c:pt idx="1">
                  <c:v>3855.8342181467183</c:v>
                </c:pt>
                <c:pt idx="2">
                  <c:v>3575.5007239382239</c:v>
                </c:pt>
                <c:pt idx="3">
                  <c:v>5045.0000000000227</c:v>
                </c:pt>
                <c:pt idx="4">
                  <c:v>3855.8342181467183</c:v>
                </c:pt>
                <c:pt idx="5">
                  <c:v>4136.1677123552126</c:v>
                </c:pt>
                <c:pt idx="6">
                  <c:v>4105.3698646331968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green'!$AB$49:$AB$55</c:f>
              <c:numCache>
                <c:formatCode>General</c:formatCode>
                <c:ptCount val="7"/>
                <c:pt idx="0">
                  <c:v>1044.3875482625483</c:v>
                </c:pt>
                <c:pt idx="1">
                  <c:v>926.63561776061783</c:v>
                </c:pt>
                <c:pt idx="2">
                  <c:v>808.88368725868736</c:v>
                </c:pt>
                <c:pt idx="3">
                  <c:v>691.13175675675677</c:v>
                </c:pt>
                <c:pt idx="4">
                  <c:v>1509.0499999999981</c:v>
                </c:pt>
                <c:pt idx="5">
                  <c:v>1044.3875482625483</c:v>
                </c:pt>
                <c:pt idx="6">
                  <c:v>1044.3875482625483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green'!$Z$49:$Z$55</c:f>
              <c:numCache>
                <c:formatCode>General</c:formatCode>
                <c:ptCount val="7"/>
                <c:pt idx="0">
                  <c:v>260.30135135135134</c:v>
                </c:pt>
                <c:pt idx="1">
                  <c:v>258.44290540540538</c:v>
                </c:pt>
                <c:pt idx="2">
                  <c:v>254.72601351351349</c:v>
                </c:pt>
                <c:pt idx="3">
                  <c:v>251.0091216216216</c:v>
                </c:pt>
                <c:pt idx="4">
                  <c:v>258.44290540540538</c:v>
                </c:pt>
                <c:pt idx="5">
                  <c:v>264</c:v>
                </c:pt>
                <c:pt idx="6">
                  <c:v>260.30135135135134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green'!$AD$49:$AD$55</c:f>
              <c:numCache>
                <c:formatCode>General</c:formatCode>
                <c:ptCount val="7"/>
                <c:pt idx="0">
                  <c:v>262.58532818532814</c:v>
                </c:pt>
                <c:pt idx="1">
                  <c:v>249.57220077220074</c:v>
                </c:pt>
                <c:pt idx="2">
                  <c:v>236.55907335907335</c:v>
                </c:pt>
                <c:pt idx="3">
                  <c:v>223.54594594594593</c:v>
                </c:pt>
                <c:pt idx="4">
                  <c:v>249.57220077220074</c:v>
                </c:pt>
                <c:pt idx="5">
                  <c:v>262.58532818532814</c:v>
                </c:pt>
                <c:pt idx="6">
                  <c:v>335.7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121856"/>
        <c:axId val="170127744"/>
      </c:barChart>
      <c:catAx>
        <c:axId val="17012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27744"/>
        <c:crosses val="autoZero"/>
        <c:auto val="1"/>
        <c:lblAlgn val="ctr"/>
        <c:lblOffset val="100"/>
        <c:noMultiLvlLbl val="0"/>
      </c:catAx>
      <c:valAx>
        <c:axId val="1701277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012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2x1000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green'!$AJ$48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green'!$AJ$56:$AJ$62</c:f>
              <c:numCache>
                <c:formatCode>General</c:formatCode>
                <c:ptCount val="7"/>
                <c:pt idx="0">
                  <c:v>2768.1489562904062</c:v>
                </c:pt>
                <c:pt idx="1">
                  <c:v>2768.1489562904053</c:v>
                </c:pt>
                <c:pt idx="2">
                  <c:v>2768.1489562904053</c:v>
                </c:pt>
                <c:pt idx="3">
                  <c:v>2768.1489562904044</c:v>
                </c:pt>
                <c:pt idx="4">
                  <c:v>2768.148956290408</c:v>
                </c:pt>
                <c:pt idx="5">
                  <c:v>2768.1489562904039</c:v>
                </c:pt>
                <c:pt idx="6">
                  <c:v>2768.1489562904067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green'!$AF$56:$AF$62</c:f>
              <c:numCache>
                <c:formatCode>General</c:formatCode>
                <c:ptCount val="7"/>
                <c:pt idx="0">
                  <c:v>2330.6072393822396</c:v>
                </c:pt>
                <c:pt idx="1">
                  <c:v>2755.7999999999988</c:v>
                </c:pt>
                <c:pt idx="2">
                  <c:v>2116.5682432432432</c:v>
                </c:pt>
                <c:pt idx="3">
                  <c:v>2009.5487451737451</c:v>
                </c:pt>
                <c:pt idx="4">
                  <c:v>2223.5877413127414</c:v>
                </c:pt>
                <c:pt idx="5">
                  <c:v>2330.6072393822396</c:v>
                </c:pt>
                <c:pt idx="6">
                  <c:v>2303.5262835521189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green'!$AH$56:$AH$62</c:f>
              <c:numCache>
                <c:formatCode>General</c:formatCode>
                <c:ptCount val="7"/>
                <c:pt idx="0">
                  <c:v>4396.9537932046287</c:v>
                </c:pt>
                <c:pt idx="1">
                  <c:v>4205.1084942084935</c:v>
                </c:pt>
                <c:pt idx="2">
                  <c:v>5176.8000000000011</c:v>
                </c:pt>
                <c:pt idx="3">
                  <c:v>3839.6761503474845</c:v>
                </c:pt>
                <c:pt idx="4">
                  <c:v>4223.8231227397246</c:v>
                </c:pt>
                <c:pt idx="5">
                  <c:v>4389.5382526640869</c:v>
                </c:pt>
                <c:pt idx="6">
                  <c:v>4303.2316602316596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green'!$AL$56:$AL$62</c:f>
              <c:numCache>
                <c:formatCode>General</c:formatCode>
                <c:ptCount val="7"/>
                <c:pt idx="0">
                  <c:v>3855.8342181467183</c:v>
                </c:pt>
                <c:pt idx="1">
                  <c:v>3575.5007239382239</c:v>
                </c:pt>
                <c:pt idx="2">
                  <c:v>3295.16722972973</c:v>
                </c:pt>
                <c:pt idx="3">
                  <c:v>5045</c:v>
                </c:pt>
                <c:pt idx="4">
                  <c:v>3613.9281434378731</c:v>
                </c:pt>
                <c:pt idx="5">
                  <c:v>3855.8342181467183</c:v>
                </c:pt>
                <c:pt idx="6">
                  <c:v>3855.8342181467183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green'!$AB$56:$AB$62</c:f>
              <c:numCache>
                <c:formatCode>General</c:formatCode>
                <c:ptCount val="7"/>
                <c:pt idx="0">
                  <c:v>926.63561776061783</c:v>
                </c:pt>
                <c:pt idx="1">
                  <c:v>808.88368725868736</c:v>
                </c:pt>
                <c:pt idx="2">
                  <c:v>691.13175675675677</c:v>
                </c:pt>
                <c:pt idx="3">
                  <c:v>621.87</c:v>
                </c:pt>
                <c:pt idx="4">
                  <c:v>1509.0500000000009</c:v>
                </c:pt>
                <c:pt idx="5">
                  <c:v>926.63561776061783</c:v>
                </c:pt>
                <c:pt idx="6">
                  <c:v>926.63561776061783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green'!$Z$56:$Z$62</c:f>
              <c:numCache>
                <c:formatCode>General</c:formatCode>
                <c:ptCount val="7"/>
                <c:pt idx="0">
                  <c:v>256.58445945945942</c:v>
                </c:pt>
                <c:pt idx="1">
                  <c:v>254.72601351351349</c:v>
                </c:pt>
                <c:pt idx="2">
                  <c:v>251.0091216216216</c:v>
                </c:pt>
                <c:pt idx="3">
                  <c:v>247.29222972972971</c:v>
                </c:pt>
                <c:pt idx="4">
                  <c:v>254.72601351351349</c:v>
                </c:pt>
                <c:pt idx="5">
                  <c:v>264</c:v>
                </c:pt>
                <c:pt idx="6">
                  <c:v>256.58445945945942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green'!$AD$56:$AD$62</c:f>
              <c:numCache>
                <c:formatCode>General</c:formatCode>
                <c:ptCount val="7"/>
                <c:pt idx="0">
                  <c:v>249.57220077220074</c:v>
                </c:pt>
                <c:pt idx="1">
                  <c:v>236.55907335907335</c:v>
                </c:pt>
                <c:pt idx="2">
                  <c:v>223.54594594594593</c:v>
                </c:pt>
                <c:pt idx="3">
                  <c:v>210.53281853281854</c:v>
                </c:pt>
                <c:pt idx="4">
                  <c:v>236.55907335907335</c:v>
                </c:pt>
                <c:pt idx="5">
                  <c:v>249.57220077220074</c:v>
                </c:pt>
                <c:pt idx="6">
                  <c:v>335.7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160896"/>
        <c:axId val="170162432"/>
      </c:barChart>
      <c:catAx>
        <c:axId val="17016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62432"/>
        <c:crosses val="autoZero"/>
        <c:auto val="1"/>
        <c:lblAlgn val="ctr"/>
        <c:lblOffset val="100"/>
        <c:noMultiLvlLbl val="0"/>
      </c:catAx>
      <c:valAx>
        <c:axId val="1701624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016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3885373286435772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2x1000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green'!$AK$48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green'!$AK$56:$AK$62</c:f>
              <c:numCache>
                <c:formatCode>General</c:formatCode>
                <c:ptCount val="7"/>
                <c:pt idx="0">
                  <c:v>3359.8510437095965</c:v>
                </c:pt>
                <c:pt idx="1">
                  <c:v>3359.851043709602</c:v>
                </c:pt>
                <c:pt idx="2">
                  <c:v>3359.8510437095974</c:v>
                </c:pt>
                <c:pt idx="3">
                  <c:v>3359.8510437096029</c:v>
                </c:pt>
                <c:pt idx="4">
                  <c:v>3359.8510437096002</c:v>
                </c:pt>
                <c:pt idx="5">
                  <c:v>3359.8510437095988</c:v>
                </c:pt>
                <c:pt idx="6">
                  <c:v>3359.8510437095952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green'!$AG$56:$AG$62</c:f>
              <c:numCache>
                <c:formatCode>General</c:formatCode>
                <c:ptCount val="7"/>
                <c:pt idx="0">
                  <c:v>2758.6852316602317</c:v>
                </c:pt>
                <c:pt idx="1">
                  <c:v>3368.2000000000003</c:v>
                </c:pt>
                <c:pt idx="2">
                  <c:v>2598.1559845559846</c:v>
                </c:pt>
                <c:pt idx="3">
                  <c:v>2491.1364864864868</c:v>
                </c:pt>
                <c:pt idx="4">
                  <c:v>2705.1754826254828</c:v>
                </c:pt>
                <c:pt idx="5">
                  <c:v>2758.6852316602317</c:v>
                </c:pt>
                <c:pt idx="6">
                  <c:v>2758.6852316602317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green'!$AI$56:$AI$62</c:f>
              <c:numCache>
                <c:formatCode>General</c:formatCode>
                <c:ptCount val="7"/>
                <c:pt idx="0">
                  <c:v>5186.340154440154</c:v>
                </c:pt>
                <c:pt idx="1">
                  <c:v>5088.216988416988</c:v>
                </c:pt>
                <c:pt idx="2">
                  <c:v>6327.2000000000007</c:v>
                </c:pt>
                <c:pt idx="3">
                  <c:v>4695.7243243243238</c:v>
                </c:pt>
                <c:pt idx="4">
                  <c:v>5088.216988416988</c:v>
                </c:pt>
                <c:pt idx="5">
                  <c:v>5186.340154440154</c:v>
                </c:pt>
                <c:pt idx="6">
                  <c:v>5186.340154440154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green'!$AM$56:$AM$62</c:f>
              <c:numCache>
                <c:formatCode>General</c:formatCode>
                <c:ptCount val="7"/>
                <c:pt idx="0">
                  <c:v>4977.1681949806953</c:v>
                </c:pt>
                <c:pt idx="1">
                  <c:v>4836.6381870270225</c:v>
                </c:pt>
                <c:pt idx="2">
                  <c:v>4556.667953667954</c:v>
                </c:pt>
                <c:pt idx="3">
                  <c:v>6165</c:v>
                </c:pt>
                <c:pt idx="4">
                  <c:v>4837.0014478764479</c:v>
                </c:pt>
                <c:pt idx="5">
                  <c:v>4977.1681949806953</c:v>
                </c:pt>
                <c:pt idx="6">
                  <c:v>4977.1681949806953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green'!$AC$56:$AC$62</c:f>
              <c:numCache>
                <c:formatCode>General</c:formatCode>
                <c:ptCount val="7"/>
                <c:pt idx="0">
                  <c:v>1397.64333976834</c:v>
                </c:pt>
                <c:pt idx="1">
                  <c:v>1279.8914092664095</c:v>
                </c:pt>
                <c:pt idx="2">
                  <c:v>1186.291468880301</c:v>
                </c:pt>
                <c:pt idx="3">
                  <c:v>1103.2635135135135</c:v>
                </c:pt>
                <c:pt idx="4">
                  <c:v>1710.95</c:v>
                </c:pt>
                <c:pt idx="5">
                  <c:v>1397.64333976834</c:v>
                </c:pt>
                <c:pt idx="6">
                  <c:v>1397.64333976834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green'!$AA$56:$AA$62</c:f>
              <c:numCache>
                <c:formatCode>General</c:formatCode>
                <c:ptCount val="7"/>
                <c:pt idx="0">
                  <c:v>264</c:v>
                </c:pt>
                <c:pt idx="1">
                  <c:v>264</c:v>
                </c:pt>
                <c:pt idx="2">
                  <c:v>264</c:v>
                </c:pt>
                <c:pt idx="3">
                  <c:v>264</c:v>
                </c:pt>
                <c:pt idx="4">
                  <c:v>264</c:v>
                </c:pt>
                <c:pt idx="5">
                  <c:v>264</c:v>
                </c:pt>
                <c:pt idx="6">
                  <c:v>264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green'!$AE$56:$AE$62</c:f>
              <c:numCache>
                <c:formatCode>General</c:formatCode>
                <c:ptCount val="7"/>
                <c:pt idx="0">
                  <c:v>301.62471042471037</c:v>
                </c:pt>
                <c:pt idx="1">
                  <c:v>288.61158301158298</c:v>
                </c:pt>
                <c:pt idx="2">
                  <c:v>275.59845559845559</c:v>
                </c:pt>
                <c:pt idx="3">
                  <c:v>269.09189189189186</c:v>
                </c:pt>
                <c:pt idx="4">
                  <c:v>295.1181467181467</c:v>
                </c:pt>
                <c:pt idx="5">
                  <c:v>301.62471042471037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vs. 2x1000 green'!$K$48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vs. 2x1000 green'!$K$56:$K$62</c:f>
              <c:numCache>
                <c:formatCode>General</c:formatCode>
                <c:ptCount val="7"/>
                <c:pt idx="0">
                  <c:v>2928</c:v>
                </c:pt>
                <c:pt idx="1">
                  <c:v>2688</c:v>
                </c:pt>
                <c:pt idx="2">
                  <c:v>2606</c:v>
                </c:pt>
                <c:pt idx="3">
                  <c:v>2826</c:v>
                </c:pt>
                <c:pt idx="4">
                  <c:v>2913</c:v>
                </c:pt>
                <c:pt idx="5">
                  <c:v>2928</c:v>
                </c:pt>
                <c:pt idx="6">
                  <c:v>2893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622976"/>
        <c:axId val="170624512"/>
      </c:barChart>
      <c:catAx>
        <c:axId val="17062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24512"/>
        <c:crosses val="autoZero"/>
        <c:auto val="1"/>
        <c:lblAlgn val="ctr"/>
        <c:lblOffset val="100"/>
        <c:noMultiLvlLbl val="0"/>
      </c:catAx>
      <c:valAx>
        <c:axId val="1706245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0622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green'!$AK$48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green'!$AK$49:$AK$55</c:f>
              <c:numCache>
                <c:formatCode>General</c:formatCode>
                <c:ptCount val="7"/>
                <c:pt idx="0">
                  <c:v>3359.8510437095911</c:v>
                </c:pt>
                <c:pt idx="1">
                  <c:v>3359.8510437096033</c:v>
                </c:pt>
                <c:pt idx="2">
                  <c:v>3359.8510437096006</c:v>
                </c:pt>
                <c:pt idx="3">
                  <c:v>3359.8510437096074</c:v>
                </c:pt>
                <c:pt idx="4">
                  <c:v>3359.8510437096056</c:v>
                </c:pt>
                <c:pt idx="5">
                  <c:v>3359.8510437096011</c:v>
                </c:pt>
                <c:pt idx="6">
                  <c:v>3359.8510437095997</c:v>
                </c:pt>
              </c:numCache>
            </c:numRef>
          </c:val>
        </c:ser>
        <c:ser>
          <c:idx val="0"/>
          <c:order val="1"/>
          <c:tx>
            <c:strRef>
              <c:f>'stg 2x500 vs. 2x1000 green'!$AG$48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green'!$AG$49:$AG$55</c:f>
              <c:numCache>
                <c:formatCode>General</c:formatCode>
                <c:ptCount val="7"/>
                <c:pt idx="0">
                  <c:v>2651.6657335907339</c:v>
                </c:pt>
                <c:pt idx="1">
                  <c:v>3368.2000000000003</c:v>
                </c:pt>
                <c:pt idx="2">
                  <c:v>2491.1364864864868</c:v>
                </c:pt>
                <c:pt idx="3">
                  <c:v>2384.1169884169885</c:v>
                </c:pt>
                <c:pt idx="4">
                  <c:v>2598.1559845559846</c:v>
                </c:pt>
                <c:pt idx="5">
                  <c:v>2651.6657335907339</c:v>
                </c:pt>
                <c:pt idx="6">
                  <c:v>2651.6657335907339</c:v>
                </c:pt>
              </c:numCache>
            </c:numRef>
          </c:val>
        </c:ser>
        <c:ser>
          <c:idx val="1"/>
          <c:order val="2"/>
          <c:tx>
            <c:strRef>
              <c:f>'stg 2x500 vs. 2x1000 green'!$AI$48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green'!$AI$49:$AI$55</c:f>
              <c:numCache>
                <c:formatCode>General</c:formatCode>
                <c:ptCount val="7"/>
                <c:pt idx="0">
                  <c:v>4990.0938223938219</c:v>
                </c:pt>
                <c:pt idx="1">
                  <c:v>4814.6524904597682</c:v>
                </c:pt>
                <c:pt idx="2">
                  <c:v>6327.2000000000007</c:v>
                </c:pt>
                <c:pt idx="3">
                  <c:v>4499.4779922779917</c:v>
                </c:pt>
                <c:pt idx="4">
                  <c:v>4891.9706563706559</c:v>
                </c:pt>
                <c:pt idx="5">
                  <c:v>4990.0938223938219</c:v>
                </c:pt>
                <c:pt idx="6">
                  <c:v>4990.0938223938219</c:v>
                </c:pt>
              </c:numCache>
            </c:numRef>
          </c:val>
        </c:ser>
        <c:ser>
          <c:idx val="2"/>
          <c:order val="3"/>
          <c:tx>
            <c:strRef>
              <c:f>'stg 2x500 vs. 2x1000 green'!$AM$48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green'!$AM$49:$AM$55</c:f>
              <c:numCache>
                <c:formatCode>General</c:formatCode>
                <c:ptCount val="7"/>
                <c:pt idx="0">
                  <c:v>4696.8347007722014</c:v>
                </c:pt>
                <c:pt idx="1">
                  <c:v>4510.5430015865559</c:v>
                </c:pt>
                <c:pt idx="2">
                  <c:v>4276.33445945946</c:v>
                </c:pt>
                <c:pt idx="3">
                  <c:v>6165</c:v>
                </c:pt>
                <c:pt idx="4">
                  <c:v>4556.1126735135012</c:v>
                </c:pt>
                <c:pt idx="5">
                  <c:v>4696.8347007722014</c:v>
                </c:pt>
                <c:pt idx="6">
                  <c:v>4696.8347007722014</c:v>
                </c:pt>
              </c:numCache>
            </c:numRef>
          </c:val>
        </c:ser>
        <c:ser>
          <c:idx val="3"/>
          <c:order val="4"/>
          <c:tx>
            <c:strRef>
              <c:f>'stg 2x500 vs. 2x1000 green'!$AC$48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green'!$AC$49:$AC$55</c:f>
              <c:numCache>
                <c:formatCode>General</c:formatCode>
                <c:ptCount val="7"/>
                <c:pt idx="0">
                  <c:v>1279.8914092664095</c:v>
                </c:pt>
                <c:pt idx="1">
                  <c:v>1221.015444015444</c:v>
                </c:pt>
                <c:pt idx="2">
                  <c:v>1060.2081773745274</c:v>
                </c:pt>
                <c:pt idx="3">
                  <c:v>985.51158301158307</c:v>
                </c:pt>
                <c:pt idx="4">
                  <c:v>1710.95</c:v>
                </c:pt>
                <c:pt idx="5">
                  <c:v>1279.8914092664095</c:v>
                </c:pt>
                <c:pt idx="6">
                  <c:v>1279.8914092664095</c:v>
                </c:pt>
              </c:numCache>
            </c:numRef>
          </c:val>
        </c:ser>
        <c:ser>
          <c:idx val="4"/>
          <c:order val="5"/>
          <c:tx>
            <c:strRef>
              <c:f>'stg 2x500 vs. 2x1000 green'!$AA$48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green'!$AA$49:$AA$55</c:f>
              <c:numCache>
                <c:formatCode>General</c:formatCode>
                <c:ptCount val="7"/>
                <c:pt idx="0">
                  <c:v>264</c:v>
                </c:pt>
                <c:pt idx="1">
                  <c:v>264</c:v>
                </c:pt>
                <c:pt idx="2">
                  <c:v>262.15979729729725</c:v>
                </c:pt>
                <c:pt idx="3">
                  <c:v>260.30135135135134</c:v>
                </c:pt>
                <c:pt idx="4">
                  <c:v>264</c:v>
                </c:pt>
                <c:pt idx="5">
                  <c:v>264</c:v>
                </c:pt>
                <c:pt idx="6">
                  <c:v>264</c:v>
                </c:pt>
              </c:numCache>
            </c:numRef>
          </c:val>
        </c:ser>
        <c:ser>
          <c:idx val="6"/>
          <c:order val="6"/>
          <c:tx>
            <c:strRef>
              <c:f>'stg 2x500 vs. 2x1000 green'!$AE$48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green'!$AE$49:$AE$55</c:f>
              <c:numCache>
                <c:formatCode>General</c:formatCode>
                <c:ptCount val="7"/>
                <c:pt idx="0">
                  <c:v>288.61158301158298</c:v>
                </c:pt>
                <c:pt idx="1">
                  <c:v>275.59845559845559</c:v>
                </c:pt>
                <c:pt idx="2">
                  <c:v>269.04000000000002</c:v>
                </c:pt>
                <c:pt idx="3">
                  <c:v>256.07876447876447</c:v>
                </c:pt>
                <c:pt idx="4">
                  <c:v>275.59845559845559</c:v>
                </c:pt>
                <c:pt idx="5">
                  <c:v>288.61158301158298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vs. 2x1000 green'!$K$48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vs. 2x1000 green'!$K$49:$K$55</c:f>
              <c:numCache>
                <c:formatCode>General</c:formatCode>
                <c:ptCount val="7"/>
                <c:pt idx="0">
                  <c:v>3642</c:v>
                </c:pt>
                <c:pt idx="1">
                  <c:v>3360</c:v>
                </c:pt>
                <c:pt idx="2">
                  <c:v>3128</c:v>
                </c:pt>
                <c:pt idx="3">
                  <c:v>3263</c:v>
                </c:pt>
                <c:pt idx="4">
                  <c:v>3517</c:v>
                </c:pt>
                <c:pt idx="5">
                  <c:v>3642</c:v>
                </c:pt>
                <c:pt idx="6">
                  <c:v>3595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204160"/>
        <c:axId val="170214144"/>
      </c:barChart>
      <c:catAx>
        <c:axId val="17020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14144"/>
        <c:crosses val="autoZero"/>
        <c:auto val="1"/>
        <c:lblAlgn val="ctr"/>
        <c:lblOffset val="100"/>
        <c:noMultiLvlLbl val="0"/>
      </c:catAx>
      <c:valAx>
        <c:axId val="1702141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0204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572285051310617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intermedia'!$K$49:$K$55</c:f>
              <c:numCache>
                <c:formatCode>General</c:formatCode>
                <c:ptCount val="7"/>
                <c:pt idx="0">
                  <c:v>2812</c:v>
                </c:pt>
                <c:pt idx="1">
                  <c:v>2972</c:v>
                </c:pt>
                <c:pt idx="2">
                  <c:v>2751</c:v>
                </c:pt>
                <c:pt idx="3">
                  <c:v>3015</c:v>
                </c:pt>
                <c:pt idx="4">
                  <c:v>3158</c:v>
                </c:pt>
                <c:pt idx="5">
                  <c:v>2825</c:v>
                </c:pt>
                <c:pt idx="6">
                  <c:v>2924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intermedia'!$K$56:$K$62</c:f>
              <c:numCache>
                <c:formatCode>General</c:formatCode>
                <c:ptCount val="7"/>
                <c:pt idx="0">
                  <c:v>2250</c:v>
                </c:pt>
                <c:pt idx="1">
                  <c:v>2493</c:v>
                </c:pt>
                <c:pt idx="2">
                  <c:v>2343</c:v>
                </c:pt>
                <c:pt idx="3">
                  <c:v>2873</c:v>
                </c:pt>
                <c:pt idx="4">
                  <c:v>2688</c:v>
                </c:pt>
                <c:pt idx="5">
                  <c:v>2266</c:v>
                </c:pt>
                <c:pt idx="6">
                  <c:v>2290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1552"/>
        <c:axId val="165457920"/>
      </c:barChart>
      <c:catAx>
        <c:axId val="165431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457920"/>
        <c:crosses val="autoZero"/>
        <c:auto val="1"/>
        <c:lblAlgn val="ctr"/>
        <c:lblOffset val="100"/>
        <c:noMultiLvlLbl val="0"/>
      </c:catAx>
      <c:valAx>
        <c:axId val="165457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UGS injection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431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intermedia'!$AO$49:$AO$55</c:f>
              <c:numCache>
                <c:formatCode>General</c:formatCode>
                <c:ptCount val="7"/>
                <c:pt idx="0">
                  <c:v>1.0114505048234288</c:v>
                </c:pt>
                <c:pt idx="1">
                  <c:v>1.0115831375963462</c:v>
                </c:pt>
                <c:pt idx="2">
                  <c:v>1.0118578395710398</c:v>
                </c:pt>
                <c:pt idx="3">
                  <c:v>1.0060729437714515</c:v>
                </c:pt>
                <c:pt idx="4">
                  <c:v>1.0115831375963462</c:v>
                </c:pt>
                <c:pt idx="5">
                  <c:v>1</c:v>
                </c:pt>
                <c:pt idx="6">
                  <c:v>1.0114505048234288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intermedia'!$AO$56:$AO$62</c:f>
              <c:numCache>
                <c:formatCode>General</c:formatCode>
                <c:ptCount val="7"/>
                <c:pt idx="0">
                  <c:v>1.0229010096468578</c:v>
                </c:pt>
                <c:pt idx="1">
                  <c:v>1.0231662751926927</c:v>
                </c:pt>
                <c:pt idx="2">
                  <c:v>1.0237156791420796</c:v>
                </c:pt>
                <c:pt idx="3">
                  <c:v>1.0090818389086604</c:v>
                </c:pt>
                <c:pt idx="4">
                  <c:v>1.0231662751926927</c:v>
                </c:pt>
                <c:pt idx="5">
                  <c:v>1</c:v>
                </c:pt>
                <c:pt idx="6">
                  <c:v>1.0258375992413997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06656"/>
        <c:axId val="170408192"/>
      </c:barChart>
      <c:catAx>
        <c:axId val="170406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408192"/>
        <c:crosses val="autoZero"/>
        <c:auto val="1"/>
        <c:lblAlgn val="ctr"/>
        <c:lblOffset val="100"/>
        <c:noMultiLvlLbl val="0"/>
      </c:catAx>
      <c:valAx>
        <c:axId val="170408192"/>
        <c:scaling>
          <c:orientation val="minMax"/>
          <c:min val="0.98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AZ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406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green'!$AP$49:$AP$55</c:f>
              <c:numCache>
                <c:formatCode>General</c:formatCode>
                <c:ptCount val="7"/>
                <c:pt idx="0">
                  <c:v>1.1013234062292743</c:v>
                </c:pt>
                <c:pt idx="1">
                  <c:v>1.1370706030854847</c:v>
                </c:pt>
                <c:pt idx="2">
                  <c:v>1.1344634230512578</c:v>
                </c:pt>
                <c:pt idx="3">
                  <c:v>1.1755768918006737</c:v>
                </c:pt>
                <c:pt idx="4">
                  <c:v>1.0627018633540379</c:v>
                </c:pt>
                <c:pt idx="5">
                  <c:v>1.1013234062292743</c:v>
                </c:pt>
                <c:pt idx="6">
                  <c:v>1.1013234062292743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green'!$AP$56:$AP$62</c:f>
              <c:numCache>
                <c:formatCode>General</c:formatCode>
                <c:ptCount val="7"/>
                <c:pt idx="0">
                  <c:v>1.2026468124585488</c:v>
                </c:pt>
                <c:pt idx="1">
                  <c:v>1.2254947039493596</c:v>
                </c:pt>
                <c:pt idx="2">
                  <c:v>1.2637443200669491</c:v>
                </c:pt>
                <c:pt idx="3">
                  <c:v>1.2790471054805941</c:v>
                </c:pt>
                <c:pt idx="4">
                  <c:v>1.062701863354037</c:v>
                </c:pt>
                <c:pt idx="5">
                  <c:v>1.2026468124585488</c:v>
                </c:pt>
                <c:pt idx="6">
                  <c:v>1.2026468124585488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02336"/>
        <c:axId val="168703872"/>
      </c:barChart>
      <c:catAx>
        <c:axId val="168702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703872"/>
        <c:crosses val="autoZero"/>
        <c:auto val="1"/>
        <c:lblAlgn val="ctr"/>
        <c:lblOffset val="100"/>
        <c:noMultiLvlLbl val="0"/>
      </c:catAx>
      <c:valAx>
        <c:axId val="16870387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DZ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702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intermedia'!$AP$49:$AP$55</c:f>
              <c:numCache>
                <c:formatCode>General</c:formatCode>
                <c:ptCount val="7"/>
                <c:pt idx="0">
                  <c:v>1.1424004938159773</c:v>
                </c:pt>
                <c:pt idx="1">
                  <c:v>1.139287736661502</c:v>
                </c:pt>
                <c:pt idx="2">
                  <c:v>1.2163356073892926</c:v>
                </c:pt>
                <c:pt idx="3">
                  <c:v>1.1785497080828313</c:v>
                </c:pt>
                <c:pt idx="4">
                  <c:v>1.0627018633540386</c:v>
                </c:pt>
                <c:pt idx="5">
                  <c:v>1.1424004938159773</c:v>
                </c:pt>
                <c:pt idx="6">
                  <c:v>1.1172599705963349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intermedia'!$AP$56:$AP$62</c:f>
              <c:numCache>
                <c:formatCode>General</c:formatCode>
                <c:ptCount val="7"/>
                <c:pt idx="0">
                  <c:v>1.2563208888687594</c:v>
                </c:pt>
                <c:pt idx="1">
                  <c:v>1.2656727160669261</c:v>
                </c:pt>
                <c:pt idx="2">
                  <c:v>1.3617906100995962</c:v>
                </c:pt>
                <c:pt idx="3">
                  <c:v>1.1985146106141553</c:v>
                </c:pt>
                <c:pt idx="4">
                  <c:v>1.0627018633540382</c:v>
                </c:pt>
                <c:pt idx="5">
                  <c:v>1.2563208888687594</c:v>
                </c:pt>
                <c:pt idx="6">
                  <c:v>1.2345199411926699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54016"/>
        <c:axId val="170455808"/>
      </c:barChart>
      <c:catAx>
        <c:axId val="170454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455808"/>
        <c:crosses val="autoZero"/>
        <c:auto val="1"/>
        <c:lblAlgn val="ctr"/>
        <c:lblOffset val="100"/>
        <c:noMultiLvlLbl val="0"/>
      </c:catAx>
      <c:valAx>
        <c:axId val="17045580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DZ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454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intermedia'!$AQ$49:$AQ$55</c:f>
              <c:numCache>
                <c:formatCode>General</c:formatCode>
                <c:ptCount val="7"/>
                <c:pt idx="0">
                  <c:v>1.0435141862650925</c:v>
                </c:pt>
                <c:pt idx="1">
                  <c:v>1.0454938124959505</c:v>
                </c:pt>
                <c:pt idx="2">
                  <c:v>1.0500475172249941</c:v>
                </c:pt>
                <c:pt idx="3">
                  <c:v>1.0278071124957098</c:v>
                </c:pt>
                <c:pt idx="4">
                  <c:v>1.0454938124959505</c:v>
                </c:pt>
                <c:pt idx="5">
                  <c:v>1.0435141862650925</c:v>
                </c:pt>
                <c:pt idx="6">
                  <c:v>1.0008928571428561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intermedia'!$AQ$56:$AQ$62</c:f>
              <c:numCache>
                <c:formatCode>General</c:formatCode>
                <c:ptCount val="7"/>
                <c:pt idx="0">
                  <c:v>1.0870283725301852</c:v>
                </c:pt>
                <c:pt idx="1">
                  <c:v>1.0909876249919013</c:v>
                </c:pt>
                <c:pt idx="2">
                  <c:v>1.100095034449988</c:v>
                </c:pt>
                <c:pt idx="3">
                  <c:v>1.0411386945893779</c:v>
                </c:pt>
                <c:pt idx="4">
                  <c:v>1.0909876249919013</c:v>
                </c:pt>
                <c:pt idx="5">
                  <c:v>1.0870283725301852</c:v>
                </c:pt>
                <c:pt idx="6">
                  <c:v>1.0008928571428561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96320"/>
        <c:axId val="165497856"/>
      </c:barChart>
      <c:catAx>
        <c:axId val="165496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497856"/>
        <c:crosses val="autoZero"/>
        <c:auto val="1"/>
        <c:lblAlgn val="ctr"/>
        <c:lblOffset val="100"/>
        <c:noMultiLvlLbl val="0"/>
      </c:catAx>
      <c:valAx>
        <c:axId val="16549785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LY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496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intermedia'!$AR$49:$AR$55</c:f>
              <c:numCache>
                <c:formatCode>General</c:formatCode>
                <c:ptCount val="7"/>
                <c:pt idx="0">
                  <c:v>1.0380193423295228</c:v>
                </c:pt>
                <c:pt idx="1">
                  <c:v>1.0999999999999992</c:v>
                </c:pt>
                <c:pt idx="2">
                  <c:v>1.0429140321688226</c:v>
                </c:pt>
                <c:pt idx="3">
                  <c:v>1.0234715322658257</c:v>
                </c:pt>
                <c:pt idx="4">
                  <c:v>1.0395219405155087</c:v>
                </c:pt>
                <c:pt idx="5">
                  <c:v>1.0380193423295228</c:v>
                </c:pt>
                <c:pt idx="6">
                  <c:v>1.0380193423295228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intermedia'!$AR$56:$AR$62</c:f>
              <c:numCache>
                <c:formatCode>General</c:formatCode>
                <c:ptCount val="7"/>
                <c:pt idx="0">
                  <c:v>1.0760386846590455</c:v>
                </c:pt>
                <c:pt idx="1">
                  <c:v>1.1000000000000003</c:v>
                </c:pt>
                <c:pt idx="2">
                  <c:v>1.0858280643376452</c:v>
                </c:pt>
                <c:pt idx="3">
                  <c:v>1.0347989065695571</c:v>
                </c:pt>
                <c:pt idx="4">
                  <c:v>1.0790438810310179</c:v>
                </c:pt>
                <c:pt idx="5">
                  <c:v>1.0760386846590455</c:v>
                </c:pt>
                <c:pt idx="6">
                  <c:v>1.0772560769815984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27552"/>
        <c:axId val="165529088"/>
      </c:barChart>
      <c:catAx>
        <c:axId val="165527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529088"/>
        <c:crosses val="autoZero"/>
        <c:auto val="1"/>
        <c:lblAlgn val="ctr"/>
        <c:lblOffset val="100"/>
        <c:noMultiLvlLbl val="0"/>
      </c:catAx>
      <c:valAx>
        <c:axId val="16552908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NO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527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intermedia'!$AS$49:$AS$55</c:f>
              <c:numCache>
                <c:formatCode>General</c:formatCode>
                <c:ptCount val="7"/>
                <c:pt idx="0">
                  <c:v>1.0368548428438726</c:v>
                </c:pt>
                <c:pt idx="1">
                  <c:v>1.038265096979456</c:v>
                </c:pt>
                <c:pt idx="2">
                  <c:v>1.1000000000000032</c:v>
                </c:pt>
                <c:pt idx="3">
                  <c:v>1.0225902156621192</c:v>
                </c:pt>
                <c:pt idx="4">
                  <c:v>1.038265096979456</c:v>
                </c:pt>
                <c:pt idx="5">
                  <c:v>1.0368548428438726</c:v>
                </c:pt>
                <c:pt idx="6">
                  <c:v>1.0368548428438726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intermedia'!$AS$56:$AS$62</c:f>
              <c:numCache>
                <c:formatCode>General</c:formatCode>
                <c:ptCount val="7"/>
                <c:pt idx="0">
                  <c:v>1.0737096856877451</c:v>
                </c:pt>
                <c:pt idx="1">
                  <c:v>1.076530193958912</c:v>
                </c:pt>
                <c:pt idx="2">
                  <c:v>1.1000000000000014</c:v>
                </c:pt>
                <c:pt idx="3">
                  <c:v>1.0335068598975559</c:v>
                </c:pt>
                <c:pt idx="4">
                  <c:v>1.076530193958912</c:v>
                </c:pt>
                <c:pt idx="5">
                  <c:v>1.0737096856877451</c:v>
                </c:pt>
                <c:pt idx="6">
                  <c:v>1.0836945336195736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0816"/>
        <c:axId val="165572608"/>
      </c:barChart>
      <c:catAx>
        <c:axId val="165570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572608"/>
        <c:crosses val="autoZero"/>
        <c:auto val="1"/>
        <c:lblAlgn val="ctr"/>
        <c:lblOffset val="100"/>
        <c:noMultiLvlLbl val="0"/>
      </c:catAx>
      <c:valAx>
        <c:axId val="16557260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RU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570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intermedia'!$AT$49:$AT$55</c:f>
              <c:numCache>
                <c:formatCode>General</c:formatCode>
                <c:ptCount val="7"/>
                <c:pt idx="0">
                  <c:v>1.0965571291480409</c:v>
                </c:pt>
                <c:pt idx="1">
                  <c:v>0.99999999999999956</c:v>
                </c:pt>
                <c:pt idx="2">
                  <c:v>0.99999999999999967</c:v>
                </c:pt>
                <c:pt idx="3">
                  <c:v>1.0000000000000011</c:v>
                </c:pt>
                <c:pt idx="4">
                  <c:v>1.0000000000000002</c:v>
                </c:pt>
                <c:pt idx="5">
                  <c:v>1.0965571291480409</c:v>
                </c:pt>
                <c:pt idx="6">
                  <c:v>1.0895865026898781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intermedia'!$AT$56:$AT$62</c:f>
              <c:numCache>
                <c:formatCode>General</c:formatCode>
                <c:ptCount val="7"/>
                <c:pt idx="0">
                  <c:v>1.0965571291480405</c:v>
                </c:pt>
                <c:pt idx="1">
                  <c:v>1.0018746190656256</c:v>
                </c:pt>
                <c:pt idx="2">
                  <c:v>0.99999999999999956</c:v>
                </c:pt>
                <c:pt idx="3">
                  <c:v>1.0000000000000002</c:v>
                </c:pt>
                <c:pt idx="4">
                  <c:v>1.0096611681585199</c:v>
                </c:pt>
                <c:pt idx="5">
                  <c:v>1.0965571291480394</c:v>
                </c:pt>
                <c:pt idx="6">
                  <c:v>1.0965571291480394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02048"/>
        <c:axId val="165603584"/>
      </c:barChart>
      <c:catAx>
        <c:axId val="165602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603584"/>
        <c:crosses val="autoZero"/>
        <c:auto val="1"/>
        <c:lblAlgn val="ctr"/>
        <c:lblOffset val="100"/>
        <c:noMultiLvlLbl val="0"/>
      </c:catAx>
      <c:valAx>
        <c:axId val="16560358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NP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5602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intermedia'!$AU$49:$AU$55</c:f>
              <c:numCache>
                <c:formatCode>General</c:formatCode>
                <c:ptCount val="7"/>
                <c:pt idx="0">
                  <c:v>1.0721541956195593</c:v>
                </c:pt>
                <c:pt idx="1">
                  <c:v>1.0664490293579281</c:v>
                </c:pt>
                <c:pt idx="2">
                  <c:v>1.0775980714461109</c:v>
                </c:pt>
                <c:pt idx="3">
                  <c:v>1.0999107939339894</c:v>
                </c:pt>
                <c:pt idx="4">
                  <c:v>1.0754088321898641</c:v>
                </c:pt>
                <c:pt idx="5">
                  <c:v>1.0695379093103476</c:v>
                </c:pt>
                <c:pt idx="6">
                  <c:v>1.0623086781727717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intermedia'!$AU$56:$AU$62</c:f>
              <c:numCache>
                <c:formatCode>General</c:formatCode>
                <c:ptCount val="7"/>
                <c:pt idx="0">
                  <c:v>1.1338086487144654</c:v>
                </c:pt>
                <c:pt idx="1">
                  <c:v>1.1328980587158559</c:v>
                </c:pt>
                <c:pt idx="2">
                  <c:v>1.160896964866257</c:v>
                </c:pt>
                <c:pt idx="3">
                  <c:v>1.1140340516677842</c:v>
                </c:pt>
                <c:pt idx="4">
                  <c:v>1.1328980587158559</c:v>
                </c:pt>
                <c:pt idx="5">
                  <c:v>1.1313662120910242</c:v>
                </c:pt>
                <c:pt idx="6">
                  <c:v>1.1246173563455437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74880"/>
        <c:axId val="170484864"/>
      </c:barChart>
      <c:catAx>
        <c:axId val="170474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484864"/>
        <c:crosses val="autoZero"/>
        <c:auto val="1"/>
        <c:lblAlgn val="ctr"/>
        <c:lblOffset val="100"/>
        <c:noMultiLvlLbl val="0"/>
      </c:catAx>
      <c:valAx>
        <c:axId val="17048486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LNG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474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intermedia'!$AO$49:$AU$49</c:f>
              <c:numCache>
                <c:formatCode>General</c:formatCode>
                <c:ptCount val="7"/>
                <c:pt idx="0">
                  <c:v>1.0114505048234288</c:v>
                </c:pt>
                <c:pt idx="1">
                  <c:v>1.1424004938159773</c:v>
                </c:pt>
                <c:pt idx="2">
                  <c:v>1.0435141862650925</c:v>
                </c:pt>
                <c:pt idx="3">
                  <c:v>1.0380193423295228</c:v>
                </c:pt>
                <c:pt idx="4">
                  <c:v>1.0368548428438726</c:v>
                </c:pt>
                <c:pt idx="5">
                  <c:v>1.0965571291480409</c:v>
                </c:pt>
                <c:pt idx="6">
                  <c:v>1.0721541956195593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intermedia'!$AO$56:$AU$56</c:f>
              <c:numCache>
                <c:formatCode>General</c:formatCode>
                <c:ptCount val="7"/>
                <c:pt idx="0">
                  <c:v>1.0229010096468578</c:v>
                </c:pt>
                <c:pt idx="1">
                  <c:v>1.2563208888687594</c:v>
                </c:pt>
                <c:pt idx="2">
                  <c:v>1.0870283725301852</c:v>
                </c:pt>
                <c:pt idx="3">
                  <c:v>1.0760386846590455</c:v>
                </c:pt>
                <c:pt idx="4">
                  <c:v>1.0737096856877451</c:v>
                </c:pt>
                <c:pt idx="5">
                  <c:v>1.0965571291480405</c:v>
                </c:pt>
                <c:pt idx="6">
                  <c:v>1.1338086487144654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514304"/>
        <c:axId val="170515840"/>
      </c:barChart>
      <c:catAx>
        <c:axId val="170514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515840"/>
        <c:crosses val="autoZero"/>
        <c:auto val="1"/>
        <c:lblAlgn val="ctr"/>
        <c:lblOffset val="100"/>
        <c:noMultiLvlLbl val="0"/>
      </c:catAx>
      <c:valAx>
        <c:axId val="170515840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REF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514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intermedia'!$AO$50:$AU$50</c:f>
              <c:numCache>
                <c:formatCode>General</c:formatCode>
                <c:ptCount val="7"/>
                <c:pt idx="0">
                  <c:v>1.0115831375963462</c:v>
                </c:pt>
                <c:pt idx="1">
                  <c:v>1.139287736661502</c:v>
                </c:pt>
                <c:pt idx="2">
                  <c:v>1.0454938124959505</c:v>
                </c:pt>
                <c:pt idx="3">
                  <c:v>1.0999999999999992</c:v>
                </c:pt>
                <c:pt idx="4">
                  <c:v>1.038265096979456</c:v>
                </c:pt>
                <c:pt idx="5">
                  <c:v>0.99999999999999956</c:v>
                </c:pt>
                <c:pt idx="6">
                  <c:v>1.0664490293579281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intermedia'!$AO$57:$AU$57</c:f>
              <c:numCache>
                <c:formatCode>General</c:formatCode>
                <c:ptCount val="7"/>
                <c:pt idx="0">
                  <c:v>1.0231662751926927</c:v>
                </c:pt>
                <c:pt idx="1">
                  <c:v>1.2656727160669261</c:v>
                </c:pt>
                <c:pt idx="2">
                  <c:v>1.0909876249919013</c:v>
                </c:pt>
                <c:pt idx="3">
                  <c:v>1.1000000000000003</c:v>
                </c:pt>
                <c:pt idx="4">
                  <c:v>1.076530193958912</c:v>
                </c:pt>
                <c:pt idx="5">
                  <c:v>1.0018746190656256</c:v>
                </c:pt>
                <c:pt idx="6">
                  <c:v>1.1328980587158559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561920"/>
        <c:axId val="170563456"/>
      </c:barChart>
      <c:catAx>
        <c:axId val="170561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563456"/>
        <c:crosses val="autoZero"/>
        <c:auto val="1"/>
        <c:lblAlgn val="ctr"/>
        <c:lblOffset val="100"/>
        <c:noMultiLvlLbl val="0"/>
      </c:catAx>
      <c:valAx>
        <c:axId val="17056345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No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561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intermedia'!$AO$51:$AU$51</c:f>
              <c:numCache>
                <c:formatCode>General</c:formatCode>
                <c:ptCount val="7"/>
                <c:pt idx="0">
                  <c:v>1.0118578395710398</c:v>
                </c:pt>
                <c:pt idx="1">
                  <c:v>1.2163356073892926</c:v>
                </c:pt>
                <c:pt idx="2">
                  <c:v>1.0500475172249941</c:v>
                </c:pt>
                <c:pt idx="3">
                  <c:v>1.0429140321688226</c:v>
                </c:pt>
                <c:pt idx="4">
                  <c:v>1.1000000000000032</c:v>
                </c:pt>
                <c:pt idx="5">
                  <c:v>0.99999999999999967</c:v>
                </c:pt>
                <c:pt idx="6">
                  <c:v>1.0775980714461109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intermedia'!$AO$58:$AU$58</c:f>
              <c:numCache>
                <c:formatCode>General</c:formatCode>
                <c:ptCount val="7"/>
                <c:pt idx="0">
                  <c:v>1.0237156791420796</c:v>
                </c:pt>
                <c:pt idx="1">
                  <c:v>1.3617906100995962</c:v>
                </c:pt>
                <c:pt idx="2">
                  <c:v>1.100095034449988</c:v>
                </c:pt>
                <c:pt idx="3">
                  <c:v>1.0858280643376452</c:v>
                </c:pt>
                <c:pt idx="4">
                  <c:v>1.1000000000000014</c:v>
                </c:pt>
                <c:pt idx="5">
                  <c:v>0.99999999999999956</c:v>
                </c:pt>
                <c:pt idx="6">
                  <c:v>1.160896964866257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920576"/>
        <c:axId val="170922368"/>
      </c:barChart>
      <c:catAx>
        <c:axId val="170920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922368"/>
        <c:crosses val="autoZero"/>
        <c:auto val="1"/>
        <c:lblAlgn val="ctr"/>
        <c:lblOffset val="100"/>
        <c:noMultiLvlLbl val="0"/>
      </c:catAx>
      <c:valAx>
        <c:axId val="17092236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RU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920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intermedia'!$AO$52:$AU$52</c:f>
              <c:numCache>
                <c:formatCode>General</c:formatCode>
                <c:ptCount val="7"/>
                <c:pt idx="0">
                  <c:v>1.0060729437714515</c:v>
                </c:pt>
                <c:pt idx="1">
                  <c:v>1.1785497080828313</c:v>
                </c:pt>
                <c:pt idx="2">
                  <c:v>1.0278071124957098</c:v>
                </c:pt>
                <c:pt idx="3">
                  <c:v>1.0234715322658257</c:v>
                </c:pt>
                <c:pt idx="4">
                  <c:v>1.0225902156621192</c:v>
                </c:pt>
                <c:pt idx="5">
                  <c:v>1.0000000000000011</c:v>
                </c:pt>
                <c:pt idx="6">
                  <c:v>1.0999107939339894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intermedia'!$AO$59:$AU$59</c:f>
              <c:numCache>
                <c:formatCode>General</c:formatCode>
                <c:ptCount val="7"/>
                <c:pt idx="0">
                  <c:v>1.0090818389086604</c:v>
                </c:pt>
                <c:pt idx="1">
                  <c:v>1.1985146106141553</c:v>
                </c:pt>
                <c:pt idx="2">
                  <c:v>1.0411386945893779</c:v>
                </c:pt>
                <c:pt idx="3">
                  <c:v>1.0347989065695571</c:v>
                </c:pt>
                <c:pt idx="4">
                  <c:v>1.0335068598975559</c:v>
                </c:pt>
                <c:pt idx="5">
                  <c:v>1.0000000000000002</c:v>
                </c:pt>
                <c:pt idx="6">
                  <c:v>1.1140340516677842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960000"/>
        <c:axId val="170961536"/>
      </c:barChart>
      <c:catAx>
        <c:axId val="170960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961536"/>
        <c:crosses val="autoZero"/>
        <c:auto val="1"/>
        <c:lblAlgn val="ctr"/>
        <c:lblOffset val="100"/>
        <c:noMultiLvlLbl val="0"/>
      </c:catAx>
      <c:valAx>
        <c:axId val="17096153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LNG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960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green'!$AQ$49:$AQ$55</c:f>
              <c:numCache>
                <c:formatCode>General</c:formatCode>
                <c:ptCount val="7"/>
                <c:pt idx="0">
                  <c:v>1.0472177080414684</c:v>
                </c:pt>
                <c:pt idx="1">
                  <c:v>1.0495577094998352</c:v>
                </c:pt>
                <c:pt idx="2">
                  <c:v>1.064242456824795</c:v>
                </c:pt>
                <c:pt idx="3">
                  <c:v>1.0678297381801085</c:v>
                </c:pt>
                <c:pt idx="4">
                  <c:v>1.0495577094998352</c:v>
                </c:pt>
                <c:pt idx="5">
                  <c:v>1.0472177080414684</c:v>
                </c:pt>
                <c:pt idx="6">
                  <c:v>1.0008928571428573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green'!$AQ$56:$AQ$62</c:f>
              <c:numCache>
                <c:formatCode>General</c:formatCode>
                <c:ptCount val="7"/>
                <c:pt idx="0">
                  <c:v>1.0944354160829364</c:v>
                </c:pt>
                <c:pt idx="1">
                  <c:v>1.0991154189996706</c:v>
                </c:pt>
                <c:pt idx="2">
                  <c:v>1.1042834688548127</c:v>
                </c:pt>
                <c:pt idx="3">
                  <c:v>1.1220935287241953</c:v>
                </c:pt>
                <c:pt idx="4">
                  <c:v>1.110140271480069</c:v>
                </c:pt>
                <c:pt idx="5">
                  <c:v>1.0944354160829364</c:v>
                </c:pt>
                <c:pt idx="6">
                  <c:v>1.0008928571428573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21024"/>
        <c:axId val="168735104"/>
      </c:barChart>
      <c:catAx>
        <c:axId val="168721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735104"/>
        <c:crosses val="autoZero"/>
        <c:auto val="1"/>
        <c:lblAlgn val="ctr"/>
        <c:lblOffset val="100"/>
        <c:noMultiLvlLbl val="0"/>
      </c:catAx>
      <c:valAx>
        <c:axId val="16873510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LY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721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intermedia'!$AO$53:$AU$53</c:f>
              <c:numCache>
                <c:formatCode>General</c:formatCode>
                <c:ptCount val="7"/>
                <c:pt idx="0">
                  <c:v>1.0115831375963462</c:v>
                </c:pt>
                <c:pt idx="1">
                  <c:v>1.0627018633540386</c:v>
                </c:pt>
                <c:pt idx="2">
                  <c:v>1.0454938124959505</c:v>
                </c:pt>
                <c:pt idx="3">
                  <c:v>1.0395219405155087</c:v>
                </c:pt>
                <c:pt idx="4">
                  <c:v>1.038265096979456</c:v>
                </c:pt>
                <c:pt idx="5">
                  <c:v>1.0000000000000002</c:v>
                </c:pt>
                <c:pt idx="6">
                  <c:v>1.0754088321898641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intermedia'!$AO$60:$AU$60</c:f>
              <c:numCache>
                <c:formatCode>General</c:formatCode>
                <c:ptCount val="7"/>
                <c:pt idx="0">
                  <c:v>1.0231662751926927</c:v>
                </c:pt>
                <c:pt idx="1">
                  <c:v>1.0627018633540382</c:v>
                </c:pt>
                <c:pt idx="2">
                  <c:v>1.0909876249919013</c:v>
                </c:pt>
                <c:pt idx="3">
                  <c:v>1.0790438810310179</c:v>
                </c:pt>
                <c:pt idx="4">
                  <c:v>1.076530193958912</c:v>
                </c:pt>
                <c:pt idx="5">
                  <c:v>1.0096611681585199</c:v>
                </c:pt>
                <c:pt idx="6">
                  <c:v>1.1328980587158559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974592"/>
        <c:axId val="171316352"/>
      </c:barChart>
      <c:catAx>
        <c:axId val="170974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1316352"/>
        <c:crosses val="autoZero"/>
        <c:auto val="1"/>
        <c:lblAlgn val="ctr"/>
        <c:lblOffset val="100"/>
        <c:noMultiLvlLbl val="0"/>
      </c:catAx>
      <c:valAx>
        <c:axId val="17131635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DZ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974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intermedia'!$AO$54:$AU$54</c:f>
              <c:numCache>
                <c:formatCode>General</c:formatCode>
                <c:ptCount val="7"/>
                <c:pt idx="0">
                  <c:v>1</c:v>
                </c:pt>
                <c:pt idx="1">
                  <c:v>1.1424004938159773</c:v>
                </c:pt>
                <c:pt idx="2">
                  <c:v>1.0435141862650925</c:v>
                </c:pt>
                <c:pt idx="3">
                  <c:v>1.0380193423295228</c:v>
                </c:pt>
                <c:pt idx="4">
                  <c:v>1.0368548428438726</c:v>
                </c:pt>
                <c:pt idx="5">
                  <c:v>1.0965571291480409</c:v>
                </c:pt>
                <c:pt idx="6">
                  <c:v>1.0695379093103476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intermedia'!$AO$61:$AU$61</c:f>
              <c:numCache>
                <c:formatCode>General</c:formatCode>
                <c:ptCount val="7"/>
                <c:pt idx="0">
                  <c:v>1</c:v>
                </c:pt>
                <c:pt idx="1">
                  <c:v>1.2563208888687594</c:v>
                </c:pt>
                <c:pt idx="2">
                  <c:v>1.0870283725301852</c:v>
                </c:pt>
                <c:pt idx="3">
                  <c:v>1.0760386846590455</c:v>
                </c:pt>
                <c:pt idx="4">
                  <c:v>1.0737096856877451</c:v>
                </c:pt>
                <c:pt idx="5">
                  <c:v>1.0965571291480394</c:v>
                </c:pt>
                <c:pt idx="6">
                  <c:v>1.1313662120910242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62944"/>
        <c:axId val="171368832"/>
      </c:barChart>
      <c:catAx>
        <c:axId val="171362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1368832"/>
        <c:crosses val="autoZero"/>
        <c:auto val="1"/>
        <c:lblAlgn val="ctr"/>
        <c:lblOffset val="100"/>
        <c:noMultiLvlLbl val="0"/>
      </c:catAx>
      <c:valAx>
        <c:axId val="17136883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AZ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1362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intermedia'!$I$49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intermedia'!$AO$55:$AU$55</c:f>
              <c:numCache>
                <c:formatCode>General</c:formatCode>
                <c:ptCount val="7"/>
                <c:pt idx="0">
                  <c:v>1.0114505048234288</c:v>
                </c:pt>
                <c:pt idx="1">
                  <c:v>1.1172599705963349</c:v>
                </c:pt>
                <c:pt idx="2">
                  <c:v>1.0008928571428561</c:v>
                </c:pt>
                <c:pt idx="3">
                  <c:v>1.0380193423295228</c:v>
                </c:pt>
                <c:pt idx="4">
                  <c:v>1.0368548428438726</c:v>
                </c:pt>
                <c:pt idx="5">
                  <c:v>1.0895865026898781</c:v>
                </c:pt>
                <c:pt idx="6">
                  <c:v>1.0623086781727717</c:v>
                </c:pt>
              </c:numCache>
            </c:numRef>
          </c:val>
        </c:ser>
        <c:ser>
          <c:idx val="1"/>
          <c:order val="1"/>
          <c:tx>
            <c:strRef>
              <c:f>'stg 2x500 vs. 2x1000 intermedia'!$I$57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intermedia'!$AO$48:$AU$48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intermedia'!$AO$62:$AU$62</c:f>
              <c:numCache>
                <c:formatCode>General</c:formatCode>
                <c:ptCount val="7"/>
                <c:pt idx="0">
                  <c:v>1.0258375992413997</c:v>
                </c:pt>
                <c:pt idx="1">
                  <c:v>1.2345199411926699</c:v>
                </c:pt>
                <c:pt idx="2">
                  <c:v>1.0008928571428561</c:v>
                </c:pt>
                <c:pt idx="3">
                  <c:v>1.0772560769815984</c:v>
                </c:pt>
                <c:pt idx="4">
                  <c:v>1.0836945336195736</c:v>
                </c:pt>
                <c:pt idx="5">
                  <c:v>1.0965571291480394</c:v>
                </c:pt>
                <c:pt idx="6">
                  <c:v>1.1246173563455437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58304"/>
        <c:axId val="171059840"/>
      </c:barChart>
      <c:catAx>
        <c:axId val="171058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1059840"/>
        <c:crosses val="autoZero"/>
        <c:auto val="1"/>
        <c:lblAlgn val="ctr"/>
        <c:lblOffset val="100"/>
        <c:noMultiLvlLbl val="0"/>
      </c:catAx>
      <c:valAx>
        <c:axId val="171059840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LY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1058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intermedia'!$S$48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intermedia'!$S$49:$S$55</c:f>
              <c:numCache>
                <c:formatCode>General</c:formatCode>
                <c:ptCount val="7"/>
                <c:pt idx="0">
                  <c:v>6128.0000000000073</c:v>
                </c:pt>
                <c:pt idx="1">
                  <c:v>5536.2979125808151</c:v>
                </c:pt>
                <c:pt idx="2">
                  <c:v>5536.297912580816</c:v>
                </c:pt>
                <c:pt idx="3">
                  <c:v>5536.2979125808197</c:v>
                </c:pt>
                <c:pt idx="4">
                  <c:v>5536.2979125808179</c:v>
                </c:pt>
                <c:pt idx="5">
                  <c:v>6128.0000000000073</c:v>
                </c:pt>
                <c:pt idx="6">
                  <c:v>6081.0806616314239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intermedia'!$M$49:$M$55</c:f>
              <c:numCache>
                <c:formatCode>General</c:formatCode>
                <c:ptCount val="7"/>
                <c:pt idx="0">
                  <c:v>4405.1436555891232</c:v>
                </c:pt>
                <c:pt idx="1">
                  <c:v>6124.0000000000055</c:v>
                </c:pt>
                <c:pt idx="2">
                  <c:v>3902.7016616314199</c:v>
                </c:pt>
                <c:pt idx="3">
                  <c:v>3567.7403323262843</c:v>
                </c:pt>
                <c:pt idx="4">
                  <c:v>4237.6629909365565</c:v>
                </c:pt>
                <c:pt idx="5">
                  <c:v>4405.1436555891232</c:v>
                </c:pt>
                <c:pt idx="6">
                  <c:v>4405.1436555891232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intermedia'!$N$49:$N$55</c:f>
              <c:numCache>
                <c:formatCode>General</c:formatCode>
                <c:ptCount val="7"/>
                <c:pt idx="0">
                  <c:v>8333.1413897280963</c:v>
                </c:pt>
                <c:pt idx="1">
                  <c:v>8026.0247734138975</c:v>
                </c:pt>
                <c:pt idx="2">
                  <c:v>11503.999999999967</c:v>
                </c:pt>
                <c:pt idx="3">
                  <c:v>6797.5583081570994</c:v>
                </c:pt>
                <c:pt idx="4">
                  <c:v>8026.0247734138975</c:v>
                </c:pt>
                <c:pt idx="5">
                  <c:v>8333.1413897280963</c:v>
                </c:pt>
                <c:pt idx="6">
                  <c:v>8333.1413897280963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intermedia'!$O$49:$O$55</c:f>
              <c:numCache>
                <c:formatCode>General</c:formatCode>
                <c:ptCount val="7"/>
                <c:pt idx="0">
                  <c:v>7115.6127818731075</c:v>
                </c:pt>
                <c:pt idx="1">
                  <c:v>6602.1914652567975</c:v>
                </c:pt>
                <c:pt idx="2">
                  <c:v>5730.7597242772244</c:v>
                </c:pt>
                <c:pt idx="3">
                  <c:v>11209.999999999982</c:v>
                </c:pt>
                <c:pt idx="4">
                  <c:v>6666.1703738240267</c:v>
                </c:pt>
                <c:pt idx="5">
                  <c:v>7095.6050024169135</c:v>
                </c:pt>
                <c:pt idx="6">
                  <c:v>7040.9006797583079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intermedia'!$P$49:$P$55</c:f>
              <c:numCache>
                <c:formatCode>General</c:formatCode>
                <c:ptCount val="7"/>
                <c:pt idx="0">
                  <c:v>1617.5895015105741</c:v>
                </c:pt>
                <c:pt idx="1">
                  <c:v>1397.6418995037734</c:v>
                </c:pt>
                <c:pt idx="2">
                  <c:v>1064.7601963746224</c:v>
                </c:pt>
                <c:pt idx="3">
                  <c:v>679.28638590862693</c:v>
                </c:pt>
                <c:pt idx="4">
                  <c:v>3219.9999999999964</c:v>
                </c:pt>
                <c:pt idx="5">
                  <c:v>1617.5895015105741</c:v>
                </c:pt>
                <c:pt idx="6">
                  <c:v>1571.5203927492448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intermedia'!$R$49:$R$55</c:f>
              <c:numCache>
                <c:formatCode>General</c:formatCode>
                <c:ptCount val="7"/>
                <c:pt idx="0">
                  <c:v>507.99222054380658</c:v>
                </c:pt>
                <c:pt idx="1">
                  <c:v>502.17545317220538</c:v>
                </c:pt>
                <c:pt idx="2">
                  <c:v>490.54191842900298</c:v>
                </c:pt>
                <c:pt idx="3">
                  <c:v>478.90838368580057</c:v>
                </c:pt>
                <c:pt idx="4">
                  <c:v>502.17545317220538</c:v>
                </c:pt>
                <c:pt idx="5">
                  <c:v>528</c:v>
                </c:pt>
                <c:pt idx="6">
                  <c:v>507.99222054380658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intermedia'!$Q$49:$Q$55</c:f>
              <c:numCache>
                <c:formatCode>General</c:formatCode>
                <c:ptCount val="7"/>
                <c:pt idx="0">
                  <c:v>468.00725075528698</c:v>
                </c:pt>
                <c:pt idx="1">
                  <c:v>447.64229607250752</c:v>
                </c:pt>
                <c:pt idx="2">
                  <c:v>406.91238670694861</c:v>
                </c:pt>
                <c:pt idx="3">
                  <c:v>366.1824773413897</c:v>
                </c:pt>
                <c:pt idx="4">
                  <c:v>447.64229607250752</c:v>
                </c:pt>
                <c:pt idx="5">
                  <c:v>468.00725075528698</c:v>
                </c:pt>
                <c:pt idx="6">
                  <c:v>672.00000000000068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114496"/>
        <c:axId val="171116032"/>
      </c:barChart>
      <c:catAx>
        <c:axId val="17111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16032"/>
        <c:crosses val="autoZero"/>
        <c:auto val="1"/>
        <c:lblAlgn val="ctr"/>
        <c:lblOffset val="100"/>
        <c:noMultiLvlLbl val="0"/>
      </c:catAx>
      <c:valAx>
        <c:axId val="17111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114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2x500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intermedia'!$S$48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intermedia'!$S$49:$S$55</c:f>
              <c:numCache>
                <c:formatCode>General</c:formatCode>
                <c:ptCount val="7"/>
                <c:pt idx="0">
                  <c:v>6128.0000000000073</c:v>
                </c:pt>
                <c:pt idx="1">
                  <c:v>5536.2979125808151</c:v>
                </c:pt>
                <c:pt idx="2">
                  <c:v>5536.297912580816</c:v>
                </c:pt>
                <c:pt idx="3">
                  <c:v>5536.2979125808197</c:v>
                </c:pt>
                <c:pt idx="4">
                  <c:v>5536.2979125808179</c:v>
                </c:pt>
                <c:pt idx="5">
                  <c:v>6128.0000000000073</c:v>
                </c:pt>
                <c:pt idx="6">
                  <c:v>6081.0806616314239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intermedia'!$M$49:$M$55</c:f>
              <c:numCache>
                <c:formatCode>General</c:formatCode>
                <c:ptCount val="7"/>
                <c:pt idx="0">
                  <c:v>4405.1436555891232</c:v>
                </c:pt>
                <c:pt idx="1">
                  <c:v>6124.0000000000055</c:v>
                </c:pt>
                <c:pt idx="2">
                  <c:v>3902.7016616314199</c:v>
                </c:pt>
                <c:pt idx="3">
                  <c:v>3567.7403323262843</c:v>
                </c:pt>
                <c:pt idx="4">
                  <c:v>4237.6629909365565</c:v>
                </c:pt>
                <c:pt idx="5">
                  <c:v>4405.1436555891232</c:v>
                </c:pt>
                <c:pt idx="6">
                  <c:v>4405.1436555891232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intermedia'!$N$49:$N$55</c:f>
              <c:numCache>
                <c:formatCode>General</c:formatCode>
                <c:ptCount val="7"/>
                <c:pt idx="0">
                  <c:v>8333.1413897280963</c:v>
                </c:pt>
                <c:pt idx="1">
                  <c:v>8026.0247734138975</c:v>
                </c:pt>
                <c:pt idx="2">
                  <c:v>11503.999999999967</c:v>
                </c:pt>
                <c:pt idx="3">
                  <c:v>6797.5583081570994</c:v>
                </c:pt>
                <c:pt idx="4">
                  <c:v>8026.0247734138975</c:v>
                </c:pt>
                <c:pt idx="5">
                  <c:v>8333.1413897280963</c:v>
                </c:pt>
                <c:pt idx="6">
                  <c:v>8333.1413897280963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intermedia'!$O$49:$O$55</c:f>
              <c:numCache>
                <c:formatCode>General</c:formatCode>
                <c:ptCount val="7"/>
                <c:pt idx="0">
                  <c:v>7115.6127818731075</c:v>
                </c:pt>
                <c:pt idx="1">
                  <c:v>6602.1914652567975</c:v>
                </c:pt>
                <c:pt idx="2">
                  <c:v>5730.7597242772244</c:v>
                </c:pt>
                <c:pt idx="3">
                  <c:v>11209.999999999982</c:v>
                </c:pt>
                <c:pt idx="4">
                  <c:v>6666.1703738240267</c:v>
                </c:pt>
                <c:pt idx="5">
                  <c:v>7095.6050024169135</c:v>
                </c:pt>
                <c:pt idx="6">
                  <c:v>7040.9006797583079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intermedia'!$P$49:$P$55</c:f>
              <c:numCache>
                <c:formatCode>General</c:formatCode>
                <c:ptCount val="7"/>
                <c:pt idx="0">
                  <c:v>1617.5895015105741</c:v>
                </c:pt>
                <c:pt idx="1">
                  <c:v>1397.6418995037734</c:v>
                </c:pt>
                <c:pt idx="2">
                  <c:v>1064.7601963746224</c:v>
                </c:pt>
                <c:pt idx="3">
                  <c:v>679.28638590862693</c:v>
                </c:pt>
                <c:pt idx="4">
                  <c:v>3219.9999999999964</c:v>
                </c:pt>
                <c:pt idx="5">
                  <c:v>1617.5895015105741</c:v>
                </c:pt>
                <c:pt idx="6">
                  <c:v>1571.5203927492448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intermedia'!$R$49:$R$55</c:f>
              <c:numCache>
                <c:formatCode>General</c:formatCode>
                <c:ptCount val="7"/>
                <c:pt idx="0">
                  <c:v>507.99222054380658</c:v>
                </c:pt>
                <c:pt idx="1">
                  <c:v>502.17545317220538</c:v>
                </c:pt>
                <c:pt idx="2">
                  <c:v>490.54191842900298</c:v>
                </c:pt>
                <c:pt idx="3">
                  <c:v>478.90838368580057</c:v>
                </c:pt>
                <c:pt idx="4">
                  <c:v>502.17545317220538</c:v>
                </c:pt>
                <c:pt idx="5">
                  <c:v>528</c:v>
                </c:pt>
                <c:pt idx="6">
                  <c:v>507.99222054380658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intermedia'!$Q$49:$Q$55</c:f>
              <c:numCache>
                <c:formatCode>General</c:formatCode>
                <c:ptCount val="7"/>
                <c:pt idx="0">
                  <c:v>468.00725075528698</c:v>
                </c:pt>
                <c:pt idx="1">
                  <c:v>447.64229607250752</c:v>
                </c:pt>
                <c:pt idx="2">
                  <c:v>406.91238670694861</c:v>
                </c:pt>
                <c:pt idx="3">
                  <c:v>366.1824773413897</c:v>
                </c:pt>
                <c:pt idx="4">
                  <c:v>447.64229607250752</c:v>
                </c:pt>
                <c:pt idx="5">
                  <c:v>468.00725075528698</c:v>
                </c:pt>
                <c:pt idx="6">
                  <c:v>672.00000000000068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165568"/>
        <c:axId val="171167104"/>
      </c:barChart>
      <c:catAx>
        <c:axId val="17116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67104"/>
        <c:crosses val="autoZero"/>
        <c:auto val="1"/>
        <c:lblAlgn val="ctr"/>
        <c:lblOffset val="100"/>
        <c:noMultiLvlLbl val="0"/>
      </c:catAx>
      <c:valAx>
        <c:axId val="171167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116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2953240120534975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2x1000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intermedia'!$S$48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intermedia'!$S$56:$S$62</c:f>
              <c:numCache>
                <c:formatCode>General</c:formatCode>
                <c:ptCount val="7"/>
                <c:pt idx="0">
                  <c:v>6128.0000000000073</c:v>
                </c:pt>
                <c:pt idx="1">
                  <c:v>5546.6958543806668</c:v>
                </c:pt>
                <c:pt idx="2">
                  <c:v>5536.2979125808133</c:v>
                </c:pt>
                <c:pt idx="3">
                  <c:v>5536.2979125808142</c:v>
                </c:pt>
                <c:pt idx="4">
                  <c:v>5590.3068066980468</c:v>
                </c:pt>
                <c:pt idx="5">
                  <c:v>6128</c:v>
                </c:pt>
                <c:pt idx="6">
                  <c:v>6128.0000000000018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intermedia'!$M$56:$M$62</c:f>
              <c:numCache>
                <c:formatCode>General</c:formatCode>
                <c:ptCount val="7"/>
                <c:pt idx="0">
                  <c:v>4405.1436555891241</c:v>
                </c:pt>
                <c:pt idx="1">
                  <c:v>6123.9999999999991</c:v>
                </c:pt>
                <c:pt idx="2">
                  <c:v>3902.7016616314195</c:v>
                </c:pt>
                <c:pt idx="3">
                  <c:v>3609.6104984894259</c:v>
                </c:pt>
                <c:pt idx="4">
                  <c:v>4237.6629909365556</c:v>
                </c:pt>
                <c:pt idx="5">
                  <c:v>4405.1436555891241</c:v>
                </c:pt>
                <c:pt idx="6">
                  <c:v>4400.1654631419915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intermedia'!$N$56:$N$62</c:f>
              <c:numCache>
                <c:formatCode>General</c:formatCode>
                <c:ptCount val="7"/>
                <c:pt idx="0">
                  <c:v>8333.1413897280963</c:v>
                </c:pt>
                <c:pt idx="1">
                  <c:v>8026.0247734138966</c:v>
                </c:pt>
                <c:pt idx="2">
                  <c:v>11503.999999999985</c:v>
                </c:pt>
                <c:pt idx="3">
                  <c:v>6874.3374622356496</c:v>
                </c:pt>
                <c:pt idx="4">
                  <c:v>8026.0247734138966</c:v>
                </c:pt>
                <c:pt idx="5">
                  <c:v>8333.1413897280963</c:v>
                </c:pt>
                <c:pt idx="6">
                  <c:v>8256.3622356495453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intermedia'!$O$56:$O$62</c:f>
              <c:numCache>
                <c:formatCode>General</c:formatCode>
                <c:ptCount val="7"/>
                <c:pt idx="0">
                  <c:v>7115.6127818731056</c:v>
                </c:pt>
                <c:pt idx="1">
                  <c:v>6602.1914652567975</c:v>
                </c:pt>
                <c:pt idx="2">
                  <c:v>5776.8288330385367</c:v>
                </c:pt>
                <c:pt idx="3">
                  <c:v>11067.884308869336</c:v>
                </c:pt>
                <c:pt idx="4">
                  <c:v>6602.1914652567975</c:v>
                </c:pt>
                <c:pt idx="5">
                  <c:v>7095.6050024169199</c:v>
                </c:pt>
                <c:pt idx="6">
                  <c:v>7040.9006797583079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intermedia'!$P$56:$P$62</c:f>
              <c:numCache>
                <c:formatCode>General</c:formatCode>
                <c:ptCount val="7"/>
                <c:pt idx="0">
                  <c:v>1617.5895015105741</c:v>
                </c:pt>
                <c:pt idx="1">
                  <c:v>1387.2439577039277</c:v>
                </c:pt>
                <c:pt idx="2">
                  <c:v>1018.6910876132931</c:v>
                </c:pt>
                <c:pt idx="3">
                  <c:v>696.20732628398787</c:v>
                </c:pt>
                <c:pt idx="4">
                  <c:v>3219.9999999999973</c:v>
                </c:pt>
                <c:pt idx="5">
                  <c:v>1617.5895015105741</c:v>
                </c:pt>
                <c:pt idx="6">
                  <c:v>1571.5203927492448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intermedia'!$R$56:$R$62</c:f>
              <c:numCache>
                <c:formatCode>General</c:formatCode>
                <c:ptCount val="7"/>
                <c:pt idx="0">
                  <c:v>507.99222054380664</c:v>
                </c:pt>
                <c:pt idx="1">
                  <c:v>502.17545317220538</c:v>
                </c:pt>
                <c:pt idx="2">
                  <c:v>490.54191842900298</c:v>
                </c:pt>
                <c:pt idx="3">
                  <c:v>480.36257552870086</c:v>
                </c:pt>
                <c:pt idx="4">
                  <c:v>502.17545317220538</c:v>
                </c:pt>
                <c:pt idx="5">
                  <c:v>528</c:v>
                </c:pt>
                <c:pt idx="6">
                  <c:v>506.53802870090635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intermedia'!$Q$56:$Q$62</c:f>
              <c:numCache>
                <c:formatCode>General</c:formatCode>
                <c:ptCount val="7"/>
                <c:pt idx="0">
                  <c:v>468.00725075528698</c:v>
                </c:pt>
                <c:pt idx="1">
                  <c:v>447.64229607250752</c:v>
                </c:pt>
                <c:pt idx="2">
                  <c:v>406.91238670694861</c:v>
                </c:pt>
                <c:pt idx="3">
                  <c:v>371.27371601208461</c:v>
                </c:pt>
                <c:pt idx="4">
                  <c:v>447.64229607250752</c:v>
                </c:pt>
                <c:pt idx="5">
                  <c:v>468.00725075528698</c:v>
                </c:pt>
                <c:pt idx="6">
                  <c:v>672.00000000000068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286912"/>
        <c:axId val="171288448"/>
      </c:barChart>
      <c:catAx>
        <c:axId val="17128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288448"/>
        <c:crosses val="autoZero"/>
        <c:auto val="1"/>
        <c:lblAlgn val="ctr"/>
        <c:lblOffset val="100"/>
        <c:noMultiLvlLbl val="0"/>
      </c:catAx>
      <c:valAx>
        <c:axId val="17128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286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2x1000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intermedia'!$S$48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intermedia'!$S$56:$S$62</c:f>
              <c:numCache>
                <c:formatCode>General</c:formatCode>
                <c:ptCount val="7"/>
                <c:pt idx="0">
                  <c:v>6128.0000000000073</c:v>
                </c:pt>
                <c:pt idx="1">
                  <c:v>5546.6958543806668</c:v>
                </c:pt>
                <c:pt idx="2">
                  <c:v>5536.2979125808133</c:v>
                </c:pt>
                <c:pt idx="3">
                  <c:v>5536.2979125808142</c:v>
                </c:pt>
                <c:pt idx="4">
                  <c:v>5590.3068066980468</c:v>
                </c:pt>
                <c:pt idx="5">
                  <c:v>6128</c:v>
                </c:pt>
                <c:pt idx="6">
                  <c:v>6128.0000000000018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intermedia'!$M$56:$M$62</c:f>
              <c:numCache>
                <c:formatCode>General</c:formatCode>
                <c:ptCount val="7"/>
                <c:pt idx="0">
                  <c:v>4405.1436555891241</c:v>
                </c:pt>
                <c:pt idx="1">
                  <c:v>6123.9999999999991</c:v>
                </c:pt>
                <c:pt idx="2">
                  <c:v>3902.7016616314195</c:v>
                </c:pt>
                <c:pt idx="3">
                  <c:v>3609.6104984894259</c:v>
                </c:pt>
                <c:pt idx="4">
                  <c:v>4237.6629909365556</c:v>
                </c:pt>
                <c:pt idx="5">
                  <c:v>4405.1436555891241</c:v>
                </c:pt>
                <c:pt idx="6">
                  <c:v>4400.1654631419915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intermedia'!$N$56:$N$62</c:f>
              <c:numCache>
                <c:formatCode>General</c:formatCode>
                <c:ptCount val="7"/>
                <c:pt idx="0">
                  <c:v>8333.1413897280963</c:v>
                </c:pt>
                <c:pt idx="1">
                  <c:v>8026.0247734138966</c:v>
                </c:pt>
                <c:pt idx="2">
                  <c:v>11503.999999999985</c:v>
                </c:pt>
                <c:pt idx="3">
                  <c:v>6874.3374622356496</c:v>
                </c:pt>
                <c:pt idx="4">
                  <c:v>8026.0247734138966</c:v>
                </c:pt>
                <c:pt idx="5">
                  <c:v>8333.1413897280963</c:v>
                </c:pt>
                <c:pt idx="6">
                  <c:v>8256.3622356495453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intermedia'!$O$56:$O$62</c:f>
              <c:numCache>
                <c:formatCode>General</c:formatCode>
                <c:ptCount val="7"/>
                <c:pt idx="0">
                  <c:v>7115.6127818731056</c:v>
                </c:pt>
                <c:pt idx="1">
                  <c:v>6602.1914652567975</c:v>
                </c:pt>
                <c:pt idx="2">
                  <c:v>5776.8288330385367</c:v>
                </c:pt>
                <c:pt idx="3">
                  <c:v>11067.884308869336</c:v>
                </c:pt>
                <c:pt idx="4">
                  <c:v>6602.1914652567975</c:v>
                </c:pt>
                <c:pt idx="5">
                  <c:v>7095.6050024169199</c:v>
                </c:pt>
                <c:pt idx="6">
                  <c:v>7040.9006797583079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intermedia'!$P$56:$P$62</c:f>
              <c:numCache>
                <c:formatCode>General</c:formatCode>
                <c:ptCount val="7"/>
                <c:pt idx="0">
                  <c:v>1617.5895015105741</c:v>
                </c:pt>
                <c:pt idx="1">
                  <c:v>1387.2439577039277</c:v>
                </c:pt>
                <c:pt idx="2">
                  <c:v>1018.6910876132931</c:v>
                </c:pt>
                <c:pt idx="3">
                  <c:v>696.20732628398787</c:v>
                </c:pt>
                <c:pt idx="4">
                  <c:v>3219.9999999999973</c:v>
                </c:pt>
                <c:pt idx="5">
                  <c:v>1617.5895015105741</c:v>
                </c:pt>
                <c:pt idx="6">
                  <c:v>1571.5203927492448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intermedia'!$R$56:$R$62</c:f>
              <c:numCache>
                <c:formatCode>General</c:formatCode>
                <c:ptCount val="7"/>
                <c:pt idx="0">
                  <c:v>507.99222054380664</c:v>
                </c:pt>
                <c:pt idx="1">
                  <c:v>502.17545317220538</c:v>
                </c:pt>
                <c:pt idx="2">
                  <c:v>490.54191842900298</c:v>
                </c:pt>
                <c:pt idx="3">
                  <c:v>480.36257552870086</c:v>
                </c:pt>
                <c:pt idx="4">
                  <c:v>502.17545317220538</c:v>
                </c:pt>
                <c:pt idx="5">
                  <c:v>528</c:v>
                </c:pt>
                <c:pt idx="6">
                  <c:v>506.53802870090635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intermedia'!$Q$56:$Q$62</c:f>
              <c:numCache>
                <c:formatCode>General</c:formatCode>
                <c:ptCount val="7"/>
                <c:pt idx="0">
                  <c:v>468.00725075528698</c:v>
                </c:pt>
                <c:pt idx="1">
                  <c:v>447.64229607250752</c:v>
                </c:pt>
                <c:pt idx="2">
                  <c:v>406.91238670694861</c:v>
                </c:pt>
                <c:pt idx="3">
                  <c:v>371.27371601208461</c:v>
                </c:pt>
                <c:pt idx="4">
                  <c:v>447.64229607250752</c:v>
                </c:pt>
                <c:pt idx="5">
                  <c:v>468.00725075528698</c:v>
                </c:pt>
                <c:pt idx="6">
                  <c:v>672.00000000000068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391616"/>
        <c:axId val="171393408"/>
      </c:barChart>
      <c:catAx>
        <c:axId val="17139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93408"/>
        <c:crosses val="autoZero"/>
        <c:auto val="1"/>
        <c:lblAlgn val="ctr"/>
        <c:lblOffset val="100"/>
        <c:noMultiLvlLbl val="0"/>
      </c:catAx>
      <c:valAx>
        <c:axId val="1713934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1391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2x1000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intermedia'!$AK$48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intermedia'!$AK$56:$AK$62</c:f>
              <c:numCache>
                <c:formatCode>General</c:formatCode>
                <c:ptCount val="7"/>
                <c:pt idx="0">
                  <c:v>3359.8510437096002</c:v>
                </c:pt>
                <c:pt idx="1">
                  <c:v>2778.5468980902579</c:v>
                </c:pt>
                <c:pt idx="2">
                  <c:v>2768.1489562904053</c:v>
                </c:pt>
                <c:pt idx="3">
                  <c:v>2768.1489562904076</c:v>
                </c:pt>
                <c:pt idx="4">
                  <c:v>2822.1578504076379</c:v>
                </c:pt>
                <c:pt idx="5">
                  <c:v>3359.8510437095929</c:v>
                </c:pt>
                <c:pt idx="6">
                  <c:v>3359.8510437095933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intermedia'!$AG$56:$AG$62</c:f>
              <c:numCache>
                <c:formatCode>General</c:formatCode>
                <c:ptCount val="7"/>
                <c:pt idx="0">
                  <c:v>2370.0524924471301</c:v>
                </c:pt>
                <c:pt idx="1">
                  <c:v>3368.2000000000003</c:v>
                </c:pt>
                <c:pt idx="2">
                  <c:v>2118.8314954682778</c:v>
                </c:pt>
                <c:pt idx="3">
                  <c:v>1867.6104984894259</c:v>
                </c:pt>
                <c:pt idx="4">
                  <c:v>2286.3121601208459</c:v>
                </c:pt>
                <c:pt idx="5">
                  <c:v>2370.0524924471301</c:v>
                </c:pt>
                <c:pt idx="6">
                  <c:v>2370.0524924471301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intermedia'!$AI$56:$AI$62</c:f>
              <c:numCache>
                <c:formatCode>General</c:formatCode>
                <c:ptCount val="7"/>
                <c:pt idx="0">
                  <c:v>4473.687311178247</c:v>
                </c:pt>
                <c:pt idx="1">
                  <c:v>4320.1290030211476</c:v>
                </c:pt>
                <c:pt idx="2">
                  <c:v>6327.2000000000007</c:v>
                </c:pt>
                <c:pt idx="3">
                  <c:v>3552.3374622356496</c:v>
                </c:pt>
                <c:pt idx="4">
                  <c:v>4320.1290030211476</c:v>
                </c:pt>
                <c:pt idx="5">
                  <c:v>4473.687311178247</c:v>
                </c:pt>
                <c:pt idx="6">
                  <c:v>4473.687311178247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intermedia'!$AM$56:$AM$62</c:f>
              <c:numCache>
                <c:formatCode>General</c:formatCode>
                <c:ptCount val="7"/>
                <c:pt idx="0">
                  <c:v>4033.871656495462</c:v>
                </c:pt>
                <c:pt idx="1">
                  <c:v>3739.8049471299091</c:v>
                </c:pt>
                <c:pt idx="2">
                  <c:v>3353.1515294131591</c:v>
                </c:pt>
                <c:pt idx="3">
                  <c:v>6165</c:v>
                </c:pt>
                <c:pt idx="4">
                  <c:v>3739.8049471299091</c:v>
                </c:pt>
                <c:pt idx="5">
                  <c:v>4013.8638770392768</c:v>
                </c:pt>
                <c:pt idx="6">
                  <c:v>3959.1595543806648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intermedia'!$AC$56:$AC$62</c:f>
              <c:numCache>
                <c:formatCode>General</c:formatCode>
                <c:ptCount val="7"/>
                <c:pt idx="0">
                  <c:v>1016.105740181269</c:v>
                </c:pt>
                <c:pt idx="1">
                  <c:v>877.89841389728099</c:v>
                </c:pt>
                <c:pt idx="2">
                  <c:v>693.62197885196383</c:v>
                </c:pt>
                <c:pt idx="3">
                  <c:v>417.20732628398792</c:v>
                </c:pt>
                <c:pt idx="4">
                  <c:v>1710.95</c:v>
                </c:pt>
                <c:pt idx="5">
                  <c:v>1016.105740181269</c:v>
                </c:pt>
                <c:pt idx="6">
                  <c:v>970.03663141993968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intermedia'!$AA$56:$AA$62</c:f>
              <c:numCache>
                <c:formatCode>General</c:formatCode>
                <c:ptCount val="7"/>
                <c:pt idx="0">
                  <c:v>259.81287764350452</c:v>
                </c:pt>
                <c:pt idx="1">
                  <c:v>256.90449395770389</c:v>
                </c:pt>
                <c:pt idx="2">
                  <c:v>251.08772658610269</c:v>
                </c:pt>
                <c:pt idx="3">
                  <c:v>242.36257552870089</c:v>
                </c:pt>
                <c:pt idx="4">
                  <c:v>256.90449395770389</c:v>
                </c:pt>
                <c:pt idx="5">
                  <c:v>264</c:v>
                </c:pt>
                <c:pt idx="6">
                  <c:v>259.81287764350452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intermedia'!$AE$56:$AE$62</c:f>
              <c:numCache>
                <c:formatCode>General</c:formatCode>
                <c:ptCount val="7"/>
                <c:pt idx="0">
                  <c:v>254.36858006042294</c:v>
                </c:pt>
                <c:pt idx="1">
                  <c:v>244.18610271903322</c:v>
                </c:pt>
                <c:pt idx="2">
                  <c:v>223.82114803625376</c:v>
                </c:pt>
                <c:pt idx="3">
                  <c:v>193.27371601208458</c:v>
                </c:pt>
                <c:pt idx="4">
                  <c:v>244.18610271903322</c:v>
                </c:pt>
                <c:pt idx="5">
                  <c:v>254.36858006042294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vs. 2x1000 intermedia'!$K$48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vs. 2x1000 intermedia'!$K$56:$K$62</c:f>
              <c:numCache>
                <c:formatCode>General</c:formatCode>
                <c:ptCount val="7"/>
                <c:pt idx="0">
                  <c:v>2250</c:v>
                </c:pt>
                <c:pt idx="1">
                  <c:v>2493</c:v>
                </c:pt>
                <c:pt idx="2">
                  <c:v>2343</c:v>
                </c:pt>
                <c:pt idx="3">
                  <c:v>2873</c:v>
                </c:pt>
                <c:pt idx="4">
                  <c:v>2688</c:v>
                </c:pt>
                <c:pt idx="5">
                  <c:v>2266</c:v>
                </c:pt>
                <c:pt idx="6">
                  <c:v>2290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583360"/>
        <c:axId val="171584896"/>
      </c:barChart>
      <c:catAx>
        <c:axId val="17158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84896"/>
        <c:crosses val="autoZero"/>
        <c:auto val="1"/>
        <c:lblAlgn val="ctr"/>
        <c:lblOffset val="100"/>
        <c:noMultiLvlLbl val="0"/>
      </c:catAx>
      <c:valAx>
        <c:axId val="171584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583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intermedia'!$AJ$48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intermedia'!$AJ$49:$AJ$55</c:f>
              <c:numCache>
                <c:formatCode>General</c:formatCode>
                <c:ptCount val="7"/>
                <c:pt idx="0">
                  <c:v>2768.1489562904062</c:v>
                </c:pt>
                <c:pt idx="1">
                  <c:v>2768.1489562904089</c:v>
                </c:pt>
                <c:pt idx="2">
                  <c:v>2768.1489562904085</c:v>
                </c:pt>
                <c:pt idx="3">
                  <c:v>2768.1489562904062</c:v>
                </c:pt>
                <c:pt idx="4">
                  <c:v>2768.148956290408</c:v>
                </c:pt>
                <c:pt idx="5">
                  <c:v>2768.1489562904062</c:v>
                </c:pt>
                <c:pt idx="6">
                  <c:v>2768.1489562904076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intermedia'!$AF$49:$AF$55</c:f>
              <c:numCache>
                <c:formatCode>General</c:formatCode>
                <c:ptCount val="7"/>
                <c:pt idx="0">
                  <c:v>2118.8314954682778</c:v>
                </c:pt>
                <c:pt idx="1">
                  <c:v>2755.8000000000056</c:v>
                </c:pt>
                <c:pt idx="2">
                  <c:v>1867.6104984894259</c:v>
                </c:pt>
                <c:pt idx="3">
                  <c:v>1742</c:v>
                </c:pt>
                <c:pt idx="4">
                  <c:v>2035.091163141994</c:v>
                </c:pt>
                <c:pt idx="5">
                  <c:v>2118.8314954682778</c:v>
                </c:pt>
                <c:pt idx="6">
                  <c:v>2118.8314954682778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intermedia'!$AH$49:$AH$55</c:f>
              <c:numCache>
                <c:formatCode>General</c:formatCode>
                <c:ptCount val="7"/>
                <c:pt idx="0">
                  <c:v>4013.0123867069483</c:v>
                </c:pt>
                <c:pt idx="1">
                  <c:v>3859.4540785498489</c:v>
                </c:pt>
                <c:pt idx="2">
                  <c:v>5176.7999999999674</c:v>
                </c:pt>
                <c:pt idx="3">
                  <c:v>3322</c:v>
                </c:pt>
                <c:pt idx="4">
                  <c:v>3859.4540785498489</c:v>
                </c:pt>
                <c:pt idx="5">
                  <c:v>4013.0123867069483</c:v>
                </c:pt>
                <c:pt idx="6">
                  <c:v>4013.0123867069483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intermedia'!$AL$49:$AL$55</c:f>
              <c:numCache>
                <c:formatCode>General</c:formatCode>
                <c:ptCount val="7"/>
                <c:pt idx="0">
                  <c:v>3301.0957326283988</c:v>
                </c:pt>
                <c:pt idx="1">
                  <c:v>3081.7411253776436</c:v>
                </c:pt>
                <c:pt idx="2">
                  <c:v>2643.0319108761328</c:v>
                </c:pt>
                <c:pt idx="3">
                  <c:v>5044.9999999999827</c:v>
                </c:pt>
                <c:pt idx="4">
                  <c:v>3081.7411253776436</c:v>
                </c:pt>
                <c:pt idx="5">
                  <c:v>3301.0957326283988</c:v>
                </c:pt>
                <c:pt idx="6">
                  <c:v>3301.0957326283988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intermedia'!$AB$49:$AB$55</c:f>
              <c:numCache>
                <c:formatCode>General</c:formatCode>
                <c:ptCount val="7"/>
                <c:pt idx="0">
                  <c:v>693.62197885196383</c:v>
                </c:pt>
                <c:pt idx="1">
                  <c:v>601.48376132930514</c:v>
                </c:pt>
                <c:pt idx="2">
                  <c:v>417.20732628398792</c:v>
                </c:pt>
                <c:pt idx="3">
                  <c:v>279</c:v>
                </c:pt>
                <c:pt idx="4">
                  <c:v>1509.0499999999961</c:v>
                </c:pt>
                <c:pt idx="5">
                  <c:v>693.62197885196383</c:v>
                </c:pt>
                <c:pt idx="6">
                  <c:v>693.62197885196383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intermedia'!$Z$49:$Z$55</c:f>
              <c:numCache>
                <c:formatCode>General</c:formatCode>
                <c:ptCount val="7"/>
                <c:pt idx="0">
                  <c:v>251.08772658610269</c:v>
                </c:pt>
                <c:pt idx="1">
                  <c:v>248.17934290030209</c:v>
                </c:pt>
                <c:pt idx="2">
                  <c:v>242.36257552870089</c:v>
                </c:pt>
                <c:pt idx="3">
                  <c:v>238</c:v>
                </c:pt>
                <c:pt idx="4">
                  <c:v>248.17934290030209</c:v>
                </c:pt>
                <c:pt idx="5">
                  <c:v>264</c:v>
                </c:pt>
                <c:pt idx="6">
                  <c:v>251.08772658610269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intermedia'!$AD$49:$AD$55</c:f>
              <c:numCache>
                <c:formatCode>General</c:formatCode>
                <c:ptCount val="7"/>
                <c:pt idx="0">
                  <c:v>223.82114803625376</c:v>
                </c:pt>
                <c:pt idx="1">
                  <c:v>213.63867069486403</c:v>
                </c:pt>
                <c:pt idx="2">
                  <c:v>193.27371601208458</c:v>
                </c:pt>
                <c:pt idx="3">
                  <c:v>178</c:v>
                </c:pt>
                <c:pt idx="4">
                  <c:v>213.63867069486403</c:v>
                </c:pt>
                <c:pt idx="5">
                  <c:v>223.82114803625376</c:v>
                </c:pt>
                <c:pt idx="6">
                  <c:v>335.70000000000067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627648"/>
        <c:axId val="171629184"/>
      </c:barChart>
      <c:catAx>
        <c:axId val="17162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629184"/>
        <c:crosses val="autoZero"/>
        <c:auto val="1"/>
        <c:lblAlgn val="ctr"/>
        <c:lblOffset val="100"/>
        <c:noMultiLvlLbl val="0"/>
      </c:catAx>
      <c:valAx>
        <c:axId val="17162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62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intermedia'!$AK$48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intermedia'!$AK$49:$AK$55</c:f>
              <c:numCache>
                <c:formatCode>General</c:formatCode>
                <c:ptCount val="7"/>
                <c:pt idx="0">
                  <c:v>3359.8510437096015</c:v>
                </c:pt>
                <c:pt idx="1">
                  <c:v>2768.1489562904062</c:v>
                </c:pt>
                <c:pt idx="2">
                  <c:v>2768.1489562904071</c:v>
                </c:pt>
                <c:pt idx="3">
                  <c:v>2768.148956290413</c:v>
                </c:pt>
                <c:pt idx="4">
                  <c:v>2768.1489562904098</c:v>
                </c:pt>
                <c:pt idx="5">
                  <c:v>3359.8510437096011</c:v>
                </c:pt>
                <c:pt idx="6">
                  <c:v>3312.9317053410164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intermedia'!$AG$49:$AG$55</c:f>
              <c:numCache>
                <c:formatCode>General</c:formatCode>
                <c:ptCount val="7"/>
                <c:pt idx="0">
                  <c:v>2286.3121601208459</c:v>
                </c:pt>
                <c:pt idx="1">
                  <c:v>3368.2000000000003</c:v>
                </c:pt>
                <c:pt idx="2">
                  <c:v>2035.091163141994</c:v>
                </c:pt>
                <c:pt idx="3">
                  <c:v>1825.740332326284</c:v>
                </c:pt>
                <c:pt idx="4">
                  <c:v>2202.5718277945621</c:v>
                </c:pt>
                <c:pt idx="5">
                  <c:v>2286.3121601208459</c:v>
                </c:pt>
                <c:pt idx="6">
                  <c:v>2286.3121601208459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intermedia'!$AI$49:$AI$55</c:f>
              <c:numCache>
                <c:formatCode>General</c:formatCode>
                <c:ptCount val="7"/>
                <c:pt idx="0">
                  <c:v>4320.1290030211476</c:v>
                </c:pt>
                <c:pt idx="1">
                  <c:v>4166.5706948640482</c:v>
                </c:pt>
                <c:pt idx="2">
                  <c:v>6327.2000000000007</c:v>
                </c:pt>
                <c:pt idx="3">
                  <c:v>3475.5583081570994</c:v>
                </c:pt>
                <c:pt idx="4">
                  <c:v>4166.5706948640482</c:v>
                </c:pt>
                <c:pt idx="5">
                  <c:v>4320.1290030211476</c:v>
                </c:pt>
                <c:pt idx="6">
                  <c:v>4320.1290030211476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intermedia'!$AM$49:$AM$55</c:f>
              <c:numCache>
                <c:formatCode>General</c:formatCode>
                <c:ptCount val="7"/>
                <c:pt idx="0">
                  <c:v>3814.5170492447082</c:v>
                </c:pt>
                <c:pt idx="1">
                  <c:v>3520.4503398791539</c:v>
                </c:pt>
                <c:pt idx="2">
                  <c:v>3087.7278134010917</c:v>
                </c:pt>
                <c:pt idx="3">
                  <c:v>6165</c:v>
                </c:pt>
                <c:pt idx="4">
                  <c:v>3584.4292484463831</c:v>
                </c:pt>
                <c:pt idx="5">
                  <c:v>3794.5092697885148</c:v>
                </c:pt>
                <c:pt idx="6">
                  <c:v>3739.8049471299091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intermedia'!$AC$49:$AC$55</c:f>
              <c:numCache>
                <c:formatCode>General</c:formatCode>
                <c:ptCount val="7"/>
                <c:pt idx="0">
                  <c:v>923.96752265861028</c:v>
                </c:pt>
                <c:pt idx="1">
                  <c:v>796.15813817446815</c:v>
                </c:pt>
                <c:pt idx="2">
                  <c:v>647.55287009063443</c:v>
                </c:pt>
                <c:pt idx="3">
                  <c:v>400.28638590862687</c:v>
                </c:pt>
                <c:pt idx="4">
                  <c:v>1710.95</c:v>
                </c:pt>
                <c:pt idx="5">
                  <c:v>923.96752265861028</c:v>
                </c:pt>
                <c:pt idx="6">
                  <c:v>877.89841389728099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intermedia'!$AA$49:$AA$55</c:f>
              <c:numCache>
                <c:formatCode>General</c:formatCode>
                <c:ptCount val="7"/>
                <c:pt idx="0">
                  <c:v>256.90449395770389</c:v>
                </c:pt>
                <c:pt idx="1">
                  <c:v>253.99611027190329</c:v>
                </c:pt>
                <c:pt idx="2">
                  <c:v>248.17934290030209</c:v>
                </c:pt>
                <c:pt idx="3">
                  <c:v>240.9083836858006</c:v>
                </c:pt>
                <c:pt idx="4">
                  <c:v>253.99611027190329</c:v>
                </c:pt>
                <c:pt idx="5">
                  <c:v>264</c:v>
                </c:pt>
                <c:pt idx="6">
                  <c:v>256.90449395770389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intermedia'!$AE$49:$AE$55</c:f>
              <c:numCache>
                <c:formatCode>General</c:formatCode>
                <c:ptCount val="7"/>
                <c:pt idx="0">
                  <c:v>244.18610271903322</c:v>
                </c:pt>
                <c:pt idx="1">
                  <c:v>234.00362537764349</c:v>
                </c:pt>
                <c:pt idx="2">
                  <c:v>213.63867069486403</c:v>
                </c:pt>
                <c:pt idx="3">
                  <c:v>188.18247734138973</c:v>
                </c:pt>
                <c:pt idx="4">
                  <c:v>234.00362537764349</c:v>
                </c:pt>
                <c:pt idx="5">
                  <c:v>244.18610271903322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vs. 2x1000 intermedia'!$K$48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vs. 2x1000 intermedia'!$K$49:$K$55</c:f>
              <c:numCache>
                <c:formatCode>General</c:formatCode>
                <c:ptCount val="7"/>
                <c:pt idx="0">
                  <c:v>2812</c:v>
                </c:pt>
                <c:pt idx="1">
                  <c:v>2972</c:v>
                </c:pt>
                <c:pt idx="2">
                  <c:v>2751</c:v>
                </c:pt>
                <c:pt idx="3">
                  <c:v>3015</c:v>
                </c:pt>
                <c:pt idx="4">
                  <c:v>3158</c:v>
                </c:pt>
                <c:pt idx="5">
                  <c:v>2825</c:v>
                </c:pt>
                <c:pt idx="6">
                  <c:v>2924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692416"/>
        <c:axId val="171693952"/>
      </c:barChart>
      <c:catAx>
        <c:axId val="17169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693952"/>
        <c:crosses val="autoZero"/>
        <c:auto val="1"/>
        <c:lblAlgn val="ctr"/>
        <c:lblOffset val="100"/>
        <c:noMultiLvlLbl val="0"/>
      </c:catAx>
      <c:valAx>
        <c:axId val="17169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692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green'!$AR$49:$AR$55</c:f>
              <c:numCache>
                <c:formatCode>General</c:formatCode>
                <c:ptCount val="7"/>
                <c:pt idx="0">
                  <c:v>1.0420567293699183</c:v>
                </c:pt>
                <c:pt idx="1">
                  <c:v>1.1000000000000008</c:v>
                </c:pt>
                <c:pt idx="2">
                  <c:v>1.0567474855891272</c:v>
                </c:pt>
                <c:pt idx="3">
                  <c:v>1.0594462246085694</c:v>
                </c:pt>
                <c:pt idx="4">
                  <c:v>1.0542831402154405</c:v>
                </c:pt>
                <c:pt idx="5">
                  <c:v>1.0420567293699183</c:v>
                </c:pt>
                <c:pt idx="6">
                  <c:v>1.0420567293699183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green'!$AR$56:$AR$62</c:f>
              <c:numCache>
                <c:formatCode>General</c:formatCode>
                <c:ptCount val="7"/>
                <c:pt idx="0">
                  <c:v>1.0841134587398367</c:v>
                </c:pt>
                <c:pt idx="1">
                  <c:v>1.1000000000000003</c:v>
                </c:pt>
                <c:pt idx="2">
                  <c:v>1.1021454740604288</c:v>
                </c:pt>
                <c:pt idx="3">
                  <c:v>1.107003204295425</c:v>
                </c:pt>
                <c:pt idx="4">
                  <c:v>1.0977096523877929</c:v>
                </c:pt>
                <c:pt idx="5">
                  <c:v>1.0841134587398367</c:v>
                </c:pt>
                <c:pt idx="6">
                  <c:v>1.089913064031466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25984"/>
        <c:axId val="168827520"/>
      </c:barChart>
      <c:catAx>
        <c:axId val="168825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827520"/>
        <c:crosses val="autoZero"/>
        <c:auto val="1"/>
        <c:lblAlgn val="ctr"/>
        <c:lblOffset val="100"/>
        <c:noMultiLvlLbl val="0"/>
      </c:catAx>
      <c:valAx>
        <c:axId val="168827520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NO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825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2x1000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vs. 2x1000 intermedia'!$AJ$48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intermedia'!$AJ$56:$AJ$62</c:f>
              <c:numCache>
                <c:formatCode>General</c:formatCode>
                <c:ptCount val="7"/>
                <c:pt idx="0">
                  <c:v>2768.1489562904076</c:v>
                </c:pt>
                <c:pt idx="1">
                  <c:v>2768.1489562904089</c:v>
                </c:pt>
                <c:pt idx="2">
                  <c:v>2768.148956290408</c:v>
                </c:pt>
                <c:pt idx="3">
                  <c:v>2768.1489562904067</c:v>
                </c:pt>
                <c:pt idx="4">
                  <c:v>2768.1489562904085</c:v>
                </c:pt>
                <c:pt idx="5">
                  <c:v>2768.1489562904071</c:v>
                </c:pt>
                <c:pt idx="6">
                  <c:v>2768.1489562904085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intermedia'!$AF$56:$AF$62</c:f>
              <c:numCache>
                <c:formatCode>General</c:formatCode>
                <c:ptCount val="7"/>
                <c:pt idx="0">
                  <c:v>2035.091163141994</c:v>
                </c:pt>
                <c:pt idx="1">
                  <c:v>2755.7999999999988</c:v>
                </c:pt>
                <c:pt idx="2">
                  <c:v>1783.8701661631419</c:v>
                </c:pt>
                <c:pt idx="3">
                  <c:v>1742</c:v>
                </c:pt>
                <c:pt idx="4">
                  <c:v>1951.35083081571</c:v>
                </c:pt>
                <c:pt idx="5">
                  <c:v>2035.091163141994</c:v>
                </c:pt>
                <c:pt idx="6">
                  <c:v>2030.1129706948616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intermedia'!$AH$56:$AH$62</c:f>
              <c:numCache>
                <c:formatCode>General</c:formatCode>
                <c:ptCount val="7"/>
                <c:pt idx="0">
                  <c:v>3859.4540785498489</c:v>
                </c:pt>
                <c:pt idx="1">
                  <c:v>3705.895770392749</c:v>
                </c:pt>
                <c:pt idx="2">
                  <c:v>5176.7999999999847</c:v>
                </c:pt>
                <c:pt idx="3">
                  <c:v>3322</c:v>
                </c:pt>
                <c:pt idx="4">
                  <c:v>3705.895770392749</c:v>
                </c:pt>
                <c:pt idx="5">
                  <c:v>3859.4540785498489</c:v>
                </c:pt>
                <c:pt idx="6">
                  <c:v>3782.6749244712987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intermedia'!$AL$56:$AL$62</c:f>
              <c:numCache>
                <c:formatCode>General</c:formatCode>
                <c:ptCount val="7"/>
                <c:pt idx="0">
                  <c:v>3081.7411253776436</c:v>
                </c:pt>
                <c:pt idx="1">
                  <c:v>2862.3865181268884</c:v>
                </c:pt>
                <c:pt idx="2">
                  <c:v>2423.6773036253776</c:v>
                </c:pt>
                <c:pt idx="3">
                  <c:v>4902.8843088693366</c:v>
                </c:pt>
                <c:pt idx="4">
                  <c:v>2862.3865181268884</c:v>
                </c:pt>
                <c:pt idx="5">
                  <c:v>3081.7411253776436</c:v>
                </c:pt>
                <c:pt idx="6">
                  <c:v>3081.7411253776436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intermedia'!$AB$56:$AB$62</c:f>
              <c:numCache>
                <c:formatCode>General</c:formatCode>
                <c:ptCount val="7"/>
                <c:pt idx="0">
                  <c:v>601.48376132930514</c:v>
                </c:pt>
                <c:pt idx="1">
                  <c:v>509.34554380664656</c:v>
                </c:pt>
                <c:pt idx="2">
                  <c:v>325.06910876132929</c:v>
                </c:pt>
                <c:pt idx="3">
                  <c:v>279</c:v>
                </c:pt>
                <c:pt idx="4">
                  <c:v>1509.049999999997</c:v>
                </c:pt>
                <c:pt idx="5">
                  <c:v>601.48376132930514</c:v>
                </c:pt>
                <c:pt idx="6">
                  <c:v>601.48376132930514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intermedia'!$Z$56:$Z$62</c:f>
              <c:numCache>
                <c:formatCode>General</c:formatCode>
                <c:ptCount val="7"/>
                <c:pt idx="0">
                  <c:v>248.17934290030209</c:v>
                </c:pt>
                <c:pt idx="1">
                  <c:v>245.27095921450149</c:v>
                </c:pt>
                <c:pt idx="2">
                  <c:v>239.45419184290029</c:v>
                </c:pt>
                <c:pt idx="3">
                  <c:v>238</c:v>
                </c:pt>
                <c:pt idx="4">
                  <c:v>245.27095921450149</c:v>
                </c:pt>
                <c:pt idx="5">
                  <c:v>264</c:v>
                </c:pt>
                <c:pt idx="6">
                  <c:v>246.7251510574018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intermedia'!$AD$56:$AD$62</c:f>
              <c:numCache>
                <c:formatCode>General</c:formatCode>
                <c:ptCount val="7"/>
                <c:pt idx="0">
                  <c:v>213.63867069486403</c:v>
                </c:pt>
                <c:pt idx="1">
                  <c:v>203.4561933534743</c:v>
                </c:pt>
                <c:pt idx="2">
                  <c:v>183.09123867069485</c:v>
                </c:pt>
                <c:pt idx="3">
                  <c:v>178</c:v>
                </c:pt>
                <c:pt idx="4">
                  <c:v>203.4561933534743</c:v>
                </c:pt>
                <c:pt idx="5">
                  <c:v>213.63867069486403</c:v>
                </c:pt>
                <c:pt idx="6">
                  <c:v>335.70000000000067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813888"/>
        <c:axId val="171827968"/>
      </c:barChart>
      <c:catAx>
        <c:axId val="17181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27968"/>
        <c:crosses val="autoZero"/>
        <c:auto val="1"/>
        <c:lblAlgn val="ctr"/>
        <c:lblOffset val="100"/>
        <c:noMultiLvlLbl val="0"/>
      </c:catAx>
      <c:valAx>
        <c:axId val="171827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813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intermedia'!$AJ$48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intermedia'!$AJ$49:$AJ$55</c:f>
              <c:numCache>
                <c:formatCode>General</c:formatCode>
                <c:ptCount val="7"/>
                <c:pt idx="0">
                  <c:v>2768.1489562904062</c:v>
                </c:pt>
                <c:pt idx="1">
                  <c:v>2768.1489562904089</c:v>
                </c:pt>
                <c:pt idx="2">
                  <c:v>2768.1489562904085</c:v>
                </c:pt>
                <c:pt idx="3">
                  <c:v>2768.1489562904062</c:v>
                </c:pt>
                <c:pt idx="4">
                  <c:v>2768.148956290408</c:v>
                </c:pt>
                <c:pt idx="5">
                  <c:v>2768.1489562904062</c:v>
                </c:pt>
                <c:pt idx="6">
                  <c:v>2768.1489562904076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intermedia'!$AF$49:$AF$55</c:f>
              <c:numCache>
                <c:formatCode>General</c:formatCode>
                <c:ptCount val="7"/>
                <c:pt idx="0">
                  <c:v>2118.8314954682778</c:v>
                </c:pt>
                <c:pt idx="1">
                  <c:v>2755.8000000000056</c:v>
                </c:pt>
                <c:pt idx="2">
                  <c:v>1867.6104984894259</c:v>
                </c:pt>
                <c:pt idx="3">
                  <c:v>1742</c:v>
                </c:pt>
                <c:pt idx="4">
                  <c:v>2035.091163141994</c:v>
                </c:pt>
                <c:pt idx="5">
                  <c:v>2118.8314954682778</c:v>
                </c:pt>
                <c:pt idx="6">
                  <c:v>2118.8314954682778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intermedia'!$AH$49:$AH$55</c:f>
              <c:numCache>
                <c:formatCode>General</c:formatCode>
                <c:ptCount val="7"/>
                <c:pt idx="0">
                  <c:v>4013.0123867069483</c:v>
                </c:pt>
                <c:pt idx="1">
                  <c:v>3859.4540785498489</c:v>
                </c:pt>
                <c:pt idx="2">
                  <c:v>5176.7999999999674</c:v>
                </c:pt>
                <c:pt idx="3">
                  <c:v>3322</c:v>
                </c:pt>
                <c:pt idx="4">
                  <c:v>3859.4540785498489</c:v>
                </c:pt>
                <c:pt idx="5">
                  <c:v>4013.0123867069483</c:v>
                </c:pt>
                <c:pt idx="6">
                  <c:v>4013.0123867069483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intermedia'!$AL$49:$AL$55</c:f>
              <c:numCache>
                <c:formatCode>General</c:formatCode>
                <c:ptCount val="7"/>
                <c:pt idx="0">
                  <c:v>3301.0957326283988</c:v>
                </c:pt>
                <c:pt idx="1">
                  <c:v>3081.7411253776436</c:v>
                </c:pt>
                <c:pt idx="2">
                  <c:v>2643.0319108761328</c:v>
                </c:pt>
                <c:pt idx="3">
                  <c:v>5044.9999999999827</c:v>
                </c:pt>
                <c:pt idx="4">
                  <c:v>3081.7411253776436</c:v>
                </c:pt>
                <c:pt idx="5">
                  <c:v>3301.0957326283988</c:v>
                </c:pt>
                <c:pt idx="6">
                  <c:v>3301.0957326283988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intermedia'!$AB$49:$AB$55</c:f>
              <c:numCache>
                <c:formatCode>General</c:formatCode>
                <c:ptCount val="7"/>
                <c:pt idx="0">
                  <c:v>693.62197885196383</c:v>
                </c:pt>
                <c:pt idx="1">
                  <c:v>601.48376132930514</c:v>
                </c:pt>
                <c:pt idx="2">
                  <c:v>417.20732628398792</c:v>
                </c:pt>
                <c:pt idx="3">
                  <c:v>279</c:v>
                </c:pt>
                <c:pt idx="4">
                  <c:v>1509.0499999999961</c:v>
                </c:pt>
                <c:pt idx="5">
                  <c:v>693.62197885196383</c:v>
                </c:pt>
                <c:pt idx="6">
                  <c:v>693.62197885196383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intermedia'!$Z$49:$Z$55</c:f>
              <c:numCache>
                <c:formatCode>General</c:formatCode>
                <c:ptCount val="7"/>
                <c:pt idx="0">
                  <c:v>251.08772658610269</c:v>
                </c:pt>
                <c:pt idx="1">
                  <c:v>248.17934290030209</c:v>
                </c:pt>
                <c:pt idx="2">
                  <c:v>242.36257552870089</c:v>
                </c:pt>
                <c:pt idx="3">
                  <c:v>238</c:v>
                </c:pt>
                <c:pt idx="4">
                  <c:v>248.17934290030209</c:v>
                </c:pt>
                <c:pt idx="5">
                  <c:v>264</c:v>
                </c:pt>
                <c:pt idx="6">
                  <c:v>251.08772658610269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intermedia'!$AD$49:$AD$55</c:f>
              <c:numCache>
                <c:formatCode>General</c:formatCode>
                <c:ptCount val="7"/>
                <c:pt idx="0">
                  <c:v>223.82114803625376</c:v>
                </c:pt>
                <c:pt idx="1">
                  <c:v>213.63867069486403</c:v>
                </c:pt>
                <c:pt idx="2">
                  <c:v>193.27371601208458</c:v>
                </c:pt>
                <c:pt idx="3">
                  <c:v>178</c:v>
                </c:pt>
                <c:pt idx="4">
                  <c:v>213.63867069486403</c:v>
                </c:pt>
                <c:pt idx="5">
                  <c:v>223.82114803625376</c:v>
                </c:pt>
                <c:pt idx="6">
                  <c:v>335.70000000000067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869696"/>
        <c:axId val="171871232"/>
      </c:barChart>
      <c:catAx>
        <c:axId val="17186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71232"/>
        <c:crosses val="autoZero"/>
        <c:auto val="1"/>
        <c:lblAlgn val="ctr"/>
        <c:lblOffset val="100"/>
        <c:noMultiLvlLbl val="0"/>
      </c:catAx>
      <c:valAx>
        <c:axId val="1718712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1869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2x1000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intermedia'!$AJ$48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intermedia'!$AJ$56:$AJ$62</c:f>
              <c:numCache>
                <c:formatCode>General</c:formatCode>
                <c:ptCount val="7"/>
                <c:pt idx="0">
                  <c:v>2768.1489562904076</c:v>
                </c:pt>
                <c:pt idx="1">
                  <c:v>2768.1489562904089</c:v>
                </c:pt>
                <c:pt idx="2">
                  <c:v>2768.148956290408</c:v>
                </c:pt>
                <c:pt idx="3">
                  <c:v>2768.1489562904067</c:v>
                </c:pt>
                <c:pt idx="4">
                  <c:v>2768.1489562904085</c:v>
                </c:pt>
                <c:pt idx="5">
                  <c:v>2768.1489562904071</c:v>
                </c:pt>
                <c:pt idx="6">
                  <c:v>2768.1489562904085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intermedia'!$AF$56:$AF$62</c:f>
              <c:numCache>
                <c:formatCode>General</c:formatCode>
                <c:ptCount val="7"/>
                <c:pt idx="0">
                  <c:v>2035.091163141994</c:v>
                </c:pt>
                <c:pt idx="1">
                  <c:v>2755.7999999999988</c:v>
                </c:pt>
                <c:pt idx="2">
                  <c:v>1783.8701661631419</c:v>
                </c:pt>
                <c:pt idx="3">
                  <c:v>1742</c:v>
                </c:pt>
                <c:pt idx="4">
                  <c:v>1951.35083081571</c:v>
                </c:pt>
                <c:pt idx="5">
                  <c:v>2035.091163141994</c:v>
                </c:pt>
                <c:pt idx="6">
                  <c:v>2030.1129706948616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intermedia'!$AH$56:$AH$62</c:f>
              <c:numCache>
                <c:formatCode>General</c:formatCode>
                <c:ptCount val="7"/>
                <c:pt idx="0">
                  <c:v>3859.4540785498489</c:v>
                </c:pt>
                <c:pt idx="1">
                  <c:v>3705.895770392749</c:v>
                </c:pt>
                <c:pt idx="2">
                  <c:v>5176.7999999999847</c:v>
                </c:pt>
                <c:pt idx="3">
                  <c:v>3322</c:v>
                </c:pt>
                <c:pt idx="4">
                  <c:v>3705.895770392749</c:v>
                </c:pt>
                <c:pt idx="5">
                  <c:v>3859.4540785498489</c:v>
                </c:pt>
                <c:pt idx="6">
                  <c:v>3782.6749244712987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intermedia'!$AL$56:$AL$62</c:f>
              <c:numCache>
                <c:formatCode>General</c:formatCode>
                <c:ptCount val="7"/>
                <c:pt idx="0">
                  <c:v>3081.7411253776436</c:v>
                </c:pt>
                <c:pt idx="1">
                  <c:v>2862.3865181268884</c:v>
                </c:pt>
                <c:pt idx="2">
                  <c:v>2423.6773036253776</c:v>
                </c:pt>
                <c:pt idx="3">
                  <c:v>4902.8843088693366</c:v>
                </c:pt>
                <c:pt idx="4">
                  <c:v>2862.3865181268884</c:v>
                </c:pt>
                <c:pt idx="5">
                  <c:v>3081.7411253776436</c:v>
                </c:pt>
                <c:pt idx="6">
                  <c:v>3081.7411253776436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intermedia'!$AB$56:$AB$62</c:f>
              <c:numCache>
                <c:formatCode>General</c:formatCode>
                <c:ptCount val="7"/>
                <c:pt idx="0">
                  <c:v>601.48376132930514</c:v>
                </c:pt>
                <c:pt idx="1">
                  <c:v>509.34554380664656</c:v>
                </c:pt>
                <c:pt idx="2">
                  <c:v>325.06910876132929</c:v>
                </c:pt>
                <c:pt idx="3">
                  <c:v>279</c:v>
                </c:pt>
                <c:pt idx="4">
                  <c:v>1509.049999999997</c:v>
                </c:pt>
                <c:pt idx="5">
                  <c:v>601.48376132930514</c:v>
                </c:pt>
                <c:pt idx="6">
                  <c:v>601.48376132930514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intermedia'!$Z$56:$Z$62</c:f>
              <c:numCache>
                <c:formatCode>General</c:formatCode>
                <c:ptCount val="7"/>
                <c:pt idx="0">
                  <c:v>248.17934290030209</c:v>
                </c:pt>
                <c:pt idx="1">
                  <c:v>245.27095921450149</c:v>
                </c:pt>
                <c:pt idx="2">
                  <c:v>239.45419184290029</c:v>
                </c:pt>
                <c:pt idx="3">
                  <c:v>238</c:v>
                </c:pt>
                <c:pt idx="4">
                  <c:v>245.27095921450149</c:v>
                </c:pt>
                <c:pt idx="5">
                  <c:v>264</c:v>
                </c:pt>
                <c:pt idx="6">
                  <c:v>246.7251510574018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intermedia'!$AD$56:$AD$62</c:f>
              <c:numCache>
                <c:formatCode>General</c:formatCode>
                <c:ptCount val="7"/>
                <c:pt idx="0">
                  <c:v>213.63867069486403</c:v>
                </c:pt>
                <c:pt idx="1">
                  <c:v>203.4561933534743</c:v>
                </c:pt>
                <c:pt idx="2">
                  <c:v>183.09123867069485</c:v>
                </c:pt>
                <c:pt idx="3">
                  <c:v>178</c:v>
                </c:pt>
                <c:pt idx="4">
                  <c:v>203.4561933534743</c:v>
                </c:pt>
                <c:pt idx="5">
                  <c:v>213.63867069486403</c:v>
                </c:pt>
                <c:pt idx="6">
                  <c:v>335.70000000000067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916672"/>
        <c:axId val="171926656"/>
      </c:barChart>
      <c:catAx>
        <c:axId val="17191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26656"/>
        <c:crosses val="autoZero"/>
        <c:auto val="1"/>
        <c:lblAlgn val="ctr"/>
        <c:lblOffset val="100"/>
        <c:noMultiLvlLbl val="0"/>
      </c:catAx>
      <c:valAx>
        <c:axId val="171926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1916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3885373286435772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2x1000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intermedia'!$AK$48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intermedia'!$AK$56:$AK$62</c:f>
              <c:numCache>
                <c:formatCode>General</c:formatCode>
                <c:ptCount val="7"/>
                <c:pt idx="0">
                  <c:v>3359.8510437096002</c:v>
                </c:pt>
                <c:pt idx="1">
                  <c:v>2778.5468980902579</c:v>
                </c:pt>
                <c:pt idx="2">
                  <c:v>2768.1489562904053</c:v>
                </c:pt>
                <c:pt idx="3">
                  <c:v>2768.1489562904076</c:v>
                </c:pt>
                <c:pt idx="4">
                  <c:v>2822.1578504076379</c:v>
                </c:pt>
                <c:pt idx="5">
                  <c:v>3359.8510437095929</c:v>
                </c:pt>
                <c:pt idx="6">
                  <c:v>3359.8510437095933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intermedia'!$AG$56:$AG$62</c:f>
              <c:numCache>
                <c:formatCode>General</c:formatCode>
                <c:ptCount val="7"/>
                <c:pt idx="0">
                  <c:v>2370.0524924471301</c:v>
                </c:pt>
                <c:pt idx="1">
                  <c:v>3368.2000000000003</c:v>
                </c:pt>
                <c:pt idx="2">
                  <c:v>2118.8314954682778</c:v>
                </c:pt>
                <c:pt idx="3">
                  <c:v>1867.6104984894259</c:v>
                </c:pt>
                <c:pt idx="4">
                  <c:v>2286.3121601208459</c:v>
                </c:pt>
                <c:pt idx="5">
                  <c:v>2370.0524924471301</c:v>
                </c:pt>
                <c:pt idx="6">
                  <c:v>2370.0524924471301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intermedia'!$AI$56:$AI$62</c:f>
              <c:numCache>
                <c:formatCode>General</c:formatCode>
                <c:ptCount val="7"/>
                <c:pt idx="0">
                  <c:v>4473.687311178247</c:v>
                </c:pt>
                <c:pt idx="1">
                  <c:v>4320.1290030211476</c:v>
                </c:pt>
                <c:pt idx="2">
                  <c:v>6327.2000000000007</c:v>
                </c:pt>
                <c:pt idx="3">
                  <c:v>3552.3374622356496</c:v>
                </c:pt>
                <c:pt idx="4">
                  <c:v>4320.1290030211476</c:v>
                </c:pt>
                <c:pt idx="5">
                  <c:v>4473.687311178247</c:v>
                </c:pt>
                <c:pt idx="6">
                  <c:v>4473.687311178247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intermedia'!$AM$56:$AM$62</c:f>
              <c:numCache>
                <c:formatCode>General</c:formatCode>
                <c:ptCount val="7"/>
                <c:pt idx="0">
                  <c:v>4033.871656495462</c:v>
                </c:pt>
                <c:pt idx="1">
                  <c:v>3739.8049471299091</c:v>
                </c:pt>
                <c:pt idx="2">
                  <c:v>3353.1515294131591</c:v>
                </c:pt>
                <c:pt idx="3">
                  <c:v>6165</c:v>
                </c:pt>
                <c:pt idx="4">
                  <c:v>3739.8049471299091</c:v>
                </c:pt>
                <c:pt idx="5">
                  <c:v>4013.8638770392768</c:v>
                </c:pt>
                <c:pt idx="6">
                  <c:v>3959.1595543806648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intermedia'!$AC$56:$AC$62</c:f>
              <c:numCache>
                <c:formatCode>General</c:formatCode>
                <c:ptCount val="7"/>
                <c:pt idx="0">
                  <c:v>1016.105740181269</c:v>
                </c:pt>
                <c:pt idx="1">
                  <c:v>877.89841389728099</c:v>
                </c:pt>
                <c:pt idx="2">
                  <c:v>693.62197885196383</c:v>
                </c:pt>
                <c:pt idx="3">
                  <c:v>417.20732628398792</c:v>
                </c:pt>
                <c:pt idx="4">
                  <c:v>1710.95</c:v>
                </c:pt>
                <c:pt idx="5">
                  <c:v>1016.105740181269</c:v>
                </c:pt>
                <c:pt idx="6">
                  <c:v>970.03663141993968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intermedia'!$AA$56:$AA$62</c:f>
              <c:numCache>
                <c:formatCode>General</c:formatCode>
                <c:ptCount val="7"/>
                <c:pt idx="0">
                  <c:v>259.81287764350452</c:v>
                </c:pt>
                <c:pt idx="1">
                  <c:v>256.90449395770389</c:v>
                </c:pt>
                <c:pt idx="2">
                  <c:v>251.08772658610269</c:v>
                </c:pt>
                <c:pt idx="3">
                  <c:v>242.36257552870089</c:v>
                </c:pt>
                <c:pt idx="4">
                  <c:v>256.90449395770389</c:v>
                </c:pt>
                <c:pt idx="5">
                  <c:v>264</c:v>
                </c:pt>
                <c:pt idx="6">
                  <c:v>259.81287764350452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intermedia'!$AE$56:$AE$62</c:f>
              <c:numCache>
                <c:formatCode>General</c:formatCode>
                <c:ptCount val="7"/>
                <c:pt idx="0">
                  <c:v>254.36858006042294</c:v>
                </c:pt>
                <c:pt idx="1">
                  <c:v>244.18610271903322</c:v>
                </c:pt>
                <c:pt idx="2">
                  <c:v>223.82114803625376</c:v>
                </c:pt>
                <c:pt idx="3">
                  <c:v>193.27371601208458</c:v>
                </c:pt>
                <c:pt idx="4">
                  <c:v>244.18610271903322</c:v>
                </c:pt>
                <c:pt idx="5">
                  <c:v>254.36858006042294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vs. 2x1000 intermedia'!$K$48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vs. 2x1000 intermedia'!$K$56:$K$62</c:f>
              <c:numCache>
                <c:formatCode>General</c:formatCode>
                <c:ptCount val="7"/>
                <c:pt idx="0">
                  <c:v>2250</c:v>
                </c:pt>
                <c:pt idx="1">
                  <c:v>2493</c:v>
                </c:pt>
                <c:pt idx="2">
                  <c:v>2343</c:v>
                </c:pt>
                <c:pt idx="3">
                  <c:v>2873</c:v>
                </c:pt>
                <c:pt idx="4">
                  <c:v>2688</c:v>
                </c:pt>
                <c:pt idx="5">
                  <c:v>2266</c:v>
                </c:pt>
                <c:pt idx="6">
                  <c:v>2290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965056"/>
        <c:axId val="172040576"/>
      </c:barChart>
      <c:catAx>
        <c:axId val="17196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2040576"/>
        <c:crosses val="autoZero"/>
        <c:auto val="1"/>
        <c:lblAlgn val="ctr"/>
        <c:lblOffset val="100"/>
        <c:noMultiLvlLbl val="0"/>
      </c:catAx>
      <c:valAx>
        <c:axId val="1720405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196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</a:t>
            </a:r>
            <a:r>
              <a:rPr lang="en-US" baseline="0"/>
              <a:t> 2x500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vs. 2x1000 intermedia'!$AK$48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intermedia'!$AK$49:$AK$55</c:f>
              <c:numCache>
                <c:formatCode>General</c:formatCode>
                <c:ptCount val="7"/>
                <c:pt idx="0">
                  <c:v>3359.8510437096015</c:v>
                </c:pt>
                <c:pt idx="1">
                  <c:v>2768.1489562904062</c:v>
                </c:pt>
                <c:pt idx="2">
                  <c:v>2768.1489562904071</c:v>
                </c:pt>
                <c:pt idx="3">
                  <c:v>2768.148956290413</c:v>
                </c:pt>
                <c:pt idx="4">
                  <c:v>2768.1489562904098</c:v>
                </c:pt>
                <c:pt idx="5">
                  <c:v>3359.8510437096011</c:v>
                </c:pt>
                <c:pt idx="6">
                  <c:v>3312.9317053410164</c:v>
                </c:pt>
              </c:numCache>
            </c:numRef>
          </c:val>
        </c:ser>
        <c:ser>
          <c:idx val="0"/>
          <c:order val="1"/>
          <c:tx>
            <c:strRef>
              <c:f>'stg 2x500 vs. 2x1000 intermedia'!$AG$48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intermedia'!$AG$49:$AG$55</c:f>
              <c:numCache>
                <c:formatCode>General</c:formatCode>
                <c:ptCount val="7"/>
                <c:pt idx="0">
                  <c:v>2286.3121601208459</c:v>
                </c:pt>
                <c:pt idx="1">
                  <c:v>3368.2000000000003</c:v>
                </c:pt>
                <c:pt idx="2">
                  <c:v>2035.091163141994</c:v>
                </c:pt>
                <c:pt idx="3">
                  <c:v>1825.740332326284</c:v>
                </c:pt>
                <c:pt idx="4">
                  <c:v>2202.5718277945621</c:v>
                </c:pt>
                <c:pt idx="5">
                  <c:v>2286.3121601208459</c:v>
                </c:pt>
                <c:pt idx="6">
                  <c:v>2286.3121601208459</c:v>
                </c:pt>
              </c:numCache>
            </c:numRef>
          </c:val>
        </c:ser>
        <c:ser>
          <c:idx val="1"/>
          <c:order val="2"/>
          <c:tx>
            <c:strRef>
              <c:f>'stg 2x500 vs. 2x1000 intermedia'!$AI$48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intermedia'!$AI$49:$AI$55</c:f>
              <c:numCache>
                <c:formatCode>General</c:formatCode>
                <c:ptCount val="7"/>
                <c:pt idx="0">
                  <c:v>4320.1290030211476</c:v>
                </c:pt>
                <c:pt idx="1">
                  <c:v>4166.5706948640482</c:v>
                </c:pt>
                <c:pt idx="2">
                  <c:v>6327.2000000000007</c:v>
                </c:pt>
                <c:pt idx="3">
                  <c:v>3475.5583081570994</c:v>
                </c:pt>
                <c:pt idx="4">
                  <c:v>4166.5706948640482</c:v>
                </c:pt>
                <c:pt idx="5">
                  <c:v>4320.1290030211476</c:v>
                </c:pt>
                <c:pt idx="6">
                  <c:v>4320.1290030211476</c:v>
                </c:pt>
              </c:numCache>
            </c:numRef>
          </c:val>
        </c:ser>
        <c:ser>
          <c:idx val="2"/>
          <c:order val="3"/>
          <c:tx>
            <c:strRef>
              <c:f>'stg 2x500 vs. 2x1000 intermedia'!$AM$48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intermedia'!$AM$49:$AM$55</c:f>
              <c:numCache>
                <c:formatCode>General</c:formatCode>
                <c:ptCount val="7"/>
                <c:pt idx="0">
                  <c:v>3814.5170492447082</c:v>
                </c:pt>
                <c:pt idx="1">
                  <c:v>3520.4503398791539</c:v>
                </c:pt>
                <c:pt idx="2">
                  <c:v>3087.7278134010917</c:v>
                </c:pt>
                <c:pt idx="3">
                  <c:v>6165</c:v>
                </c:pt>
                <c:pt idx="4">
                  <c:v>3584.4292484463831</c:v>
                </c:pt>
                <c:pt idx="5">
                  <c:v>3794.5092697885148</c:v>
                </c:pt>
                <c:pt idx="6">
                  <c:v>3739.8049471299091</c:v>
                </c:pt>
              </c:numCache>
            </c:numRef>
          </c:val>
        </c:ser>
        <c:ser>
          <c:idx val="3"/>
          <c:order val="4"/>
          <c:tx>
            <c:strRef>
              <c:f>'stg 2x500 vs. 2x1000 intermedia'!$AC$48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intermedia'!$AC$49:$AC$55</c:f>
              <c:numCache>
                <c:formatCode>General</c:formatCode>
                <c:ptCount val="7"/>
                <c:pt idx="0">
                  <c:v>923.96752265861028</c:v>
                </c:pt>
                <c:pt idx="1">
                  <c:v>796.15813817446815</c:v>
                </c:pt>
                <c:pt idx="2">
                  <c:v>647.55287009063443</c:v>
                </c:pt>
                <c:pt idx="3">
                  <c:v>400.28638590862687</c:v>
                </c:pt>
                <c:pt idx="4">
                  <c:v>1710.95</c:v>
                </c:pt>
                <c:pt idx="5">
                  <c:v>923.96752265861028</c:v>
                </c:pt>
                <c:pt idx="6">
                  <c:v>877.89841389728099</c:v>
                </c:pt>
              </c:numCache>
            </c:numRef>
          </c:val>
        </c:ser>
        <c:ser>
          <c:idx val="4"/>
          <c:order val="5"/>
          <c:tx>
            <c:strRef>
              <c:f>'stg 2x500 vs. 2x1000 intermedia'!$AA$48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vs. 2x1000 intermedia'!$F$49:$F$55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intermedia'!$AA$49:$AA$55</c:f>
              <c:numCache>
                <c:formatCode>General</c:formatCode>
                <c:ptCount val="7"/>
                <c:pt idx="0">
                  <c:v>256.90449395770389</c:v>
                </c:pt>
                <c:pt idx="1">
                  <c:v>253.99611027190329</c:v>
                </c:pt>
                <c:pt idx="2">
                  <c:v>248.17934290030209</c:v>
                </c:pt>
                <c:pt idx="3">
                  <c:v>240.9083836858006</c:v>
                </c:pt>
                <c:pt idx="4">
                  <c:v>253.99611027190329</c:v>
                </c:pt>
                <c:pt idx="5">
                  <c:v>264</c:v>
                </c:pt>
                <c:pt idx="6">
                  <c:v>256.90449395770389</c:v>
                </c:pt>
              </c:numCache>
            </c:numRef>
          </c:val>
        </c:ser>
        <c:ser>
          <c:idx val="6"/>
          <c:order val="6"/>
          <c:tx>
            <c:strRef>
              <c:f>'stg 2x500 vs. 2x1000 intermedia'!$AE$48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vs. 2x1000 intermedia'!$AE$49:$AE$55</c:f>
              <c:numCache>
                <c:formatCode>General</c:formatCode>
                <c:ptCount val="7"/>
                <c:pt idx="0">
                  <c:v>244.18610271903322</c:v>
                </c:pt>
                <c:pt idx="1">
                  <c:v>234.00362537764349</c:v>
                </c:pt>
                <c:pt idx="2">
                  <c:v>213.63867069486403</c:v>
                </c:pt>
                <c:pt idx="3">
                  <c:v>188.18247734138973</c:v>
                </c:pt>
                <c:pt idx="4">
                  <c:v>234.00362537764349</c:v>
                </c:pt>
                <c:pt idx="5">
                  <c:v>244.18610271903322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vs. 2x1000 intermedia'!$K$48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vs. 2x1000 intermedia'!$K$49:$K$55</c:f>
              <c:numCache>
                <c:formatCode>General</c:formatCode>
                <c:ptCount val="7"/>
                <c:pt idx="0">
                  <c:v>2812</c:v>
                </c:pt>
                <c:pt idx="1">
                  <c:v>2972</c:v>
                </c:pt>
                <c:pt idx="2">
                  <c:v>2751</c:v>
                </c:pt>
                <c:pt idx="3">
                  <c:v>3015</c:v>
                </c:pt>
                <c:pt idx="4">
                  <c:v>3158</c:v>
                </c:pt>
                <c:pt idx="5">
                  <c:v>2825</c:v>
                </c:pt>
                <c:pt idx="6">
                  <c:v>2924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099456"/>
        <c:axId val="172100992"/>
      </c:barChart>
      <c:catAx>
        <c:axId val="17209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00992"/>
        <c:crosses val="autoZero"/>
        <c:auto val="1"/>
        <c:lblAlgn val="ctr"/>
        <c:lblOffset val="100"/>
        <c:noMultiLvlLbl val="0"/>
      </c:catAx>
      <c:valAx>
        <c:axId val="1721009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2099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572285051310617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green'!$K$49:$K$55</c:f>
              <c:numCache>
                <c:formatCode>General</c:formatCode>
                <c:ptCount val="7"/>
                <c:pt idx="0">
                  <c:v>2812</c:v>
                </c:pt>
                <c:pt idx="1">
                  <c:v>2972</c:v>
                </c:pt>
                <c:pt idx="2">
                  <c:v>2751</c:v>
                </c:pt>
                <c:pt idx="3">
                  <c:v>3015</c:v>
                </c:pt>
                <c:pt idx="4">
                  <c:v>3158</c:v>
                </c:pt>
                <c:pt idx="5">
                  <c:v>2825</c:v>
                </c:pt>
                <c:pt idx="6">
                  <c:v>2924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green'!$K$56:$K$62</c:f>
              <c:numCache>
                <c:formatCode>General</c:formatCode>
                <c:ptCount val="7"/>
                <c:pt idx="0">
                  <c:v>3642</c:v>
                </c:pt>
                <c:pt idx="1">
                  <c:v>3360</c:v>
                </c:pt>
                <c:pt idx="2">
                  <c:v>3128</c:v>
                </c:pt>
                <c:pt idx="3">
                  <c:v>3263</c:v>
                </c:pt>
                <c:pt idx="4">
                  <c:v>3517</c:v>
                </c:pt>
                <c:pt idx="5">
                  <c:v>3642</c:v>
                </c:pt>
                <c:pt idx="6">
                  <c:v>3595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76320"/>
        <c:axId val="163977856"/>
      </c:barChart>
      <c:catAx>
        <c:axId val="163976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3977856"/>
        <c:crosses val="autoZero"/>
        <c:auto val="1"/>
        <c:lblAlgn val="ctr"/>
        <c:lblOffset val="100"/>
        <c:noMultiLvlLbl val="0"/>
      </c:catAx>
      <c:valAx>
        <c:axId val="1639778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UGS injection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3976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green'!$AO$49:$AO$55</c:f>
              <c:numCache>
                <c:formatCode>General</c:formatCode>
                <c:ptCount val="7"/>
                <c:pt idx="0">
                  <c:v>1.0114505048234288</c:v>
                </c:pt>
                <c:pt idx="1">
                  <c:v>1.0115831375963462</c:v>
                </c:pt>
                <c:pt idx="2">
                  <c:v>1.0118578395710398</c:v>
                </c:pt>
                <c:pt idx="3">
                  <c:v>1.0060729437714515</c:v>
                </c:pt>
                <c:pt idx="4">
                  <c:v>1.0115831375963462</c:v>
                </c:pt>
                <c:pt idx="5">
                  <c:v>1</c:v>
                </c:pt>
                <c:pt idx="6">
                  <c:v>1.0114505048234288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green'!$AO$56:$AO$62</c:f>
              <c:numCache>
                <c:formatCode>General</c:formatCode>
                <c:ptCount val="7"/>
                <c:pt idx="0">
                  <c:v>1.0070544327973134</c:v>
                </c:pt>
                <c:pt idx="1">
                  <c:v>1.0106367500392841</c:v>
                </c:pt>
                <c:pt idx="2">
                  <c:v>1.0143818685448587</c:v>
                </c:pt>
                <c:pt idx="3">
                  <c:v>1.0181733608461037</c:v>
                </c:pt>
                <c:pt idx="4">
                  <c:v>1.0106367500392841</c:v>
                </c:pt>
                <c:pt idx="5">
                  <c:v>1</c:v>
                </c:pt>
                <c:pt idx="6">
                  <c:v>1.0070544327973134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07296"/>
        <c:axId val="164021376"/>
      </c:barChart>
      <c:catAx>
        <c:axId val="164007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021376"/>
        <c:crosses val="autoZero"/>
        <c:auto val="1"/>
        <c:lblAlgn val="ctr"/>
        <c:lblOffset val="100"/>
        <c:noMultiLvlLbl val="0"/>
      </c:catAx>
      <c:valAx>
        <c:axId val="164021376"/>
        <c:scaling>
          <c:orientation val="minMax"/>
          <c:min val="0.98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AZ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007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green'!$AP$49:$AP$55</c:f>
              <c:numCache>
                <c:formatCode>General</c:formatCode>
                <c:ptCount val="7"/>
                <c:pt idx="0">
                  <c:v>1.1424004938159773</c:v>
                </c:pt>
                <c:pt idx="1">
                  <c:v>1.139287736661502</c:v>
                </c:pt>
                <c:pt idx="2">
                  <c:v>1.2163356073892926</c:v>
                </c:pt>
                <c:pt idx="3">
                  <c:v>1.1785497080828313</c:v>
                </c:pt>
                <c:pt idx="4">
                  <c:v>1.0627018633540386</c:v>
                </c:pt>
                <c:pt idx="5">
                  <c:v>1.1424004938159773</c:v>
                </c:pt>
                <c:pt idx="6">
                  <c:v>1.1172599705963349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green'!$AP$56:$AP$62</c:f>
              <c:numCache>
                <c:formatCode>General</c:formatCode>
                <c:ptCount val="7"/>
                <c:pt idx="0">
                  <c:v>1.1013234062292743</c:v>
                </c:pt>
                <c:pt idx="1">
                  <c:v>1.1370706030854847</c:v>
                </c:pt>
                <c:pt idx="2">
                  <c:v>1.1344634230512578</c:v>
                </c:pt>
                <c:pt idx="3">
                  <c:v>1.1755768918006737</c:v>
                </c:pt>
                <c:pt idx="4">
                  <c:v>1.0627018633540379</c:v>
                </c:pt>
                <c:pt idx="5">
                  <c:v>1.1013234062292743</c:v>
                </c:pt>
                <c:pt idx="6">
                  <c:v>1.1013234062292743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54912"/>
        <c:axId val="164056448"/>
      </c:barChart>
      <c:catAx>
        <c:axId val="164054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056448"/>
        <c:crosses val="autoZero"/>
        <c:auto val="1"/>
        <c:lblAlgn val="ctr"/>
        <c:lblOffset val="100"/>
        <c:noMultiLvlLbl val="0"/>
      </c:catAx>
      <c:valAx>
        <c:axId val="16405644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DZ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054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green'!$AQ$49:$AQ$55</c:f>
              <c:numCache>
                <c:formatCode>General</c:formatCode>
                <c:ptCount val="7"/>
                <c:pt idx="0">
                  <c:v>1.0435141862650925</c:v>
                </c:pt>
                <c:pt idx="1">
                  <c:v>1.0454938124959505</c:v>
                </c:pt>
                <c:pt idx="2">
                  <c:v>1.0500475172249941</c:v>
                </c:pt>
                <c:pt idx="3">
                  <c:v>1.0278071124957098</c:v>
                </c:pt>
                <c:pt idx="4">
                  <c:v>1.0454938124959505</c:v>
                </c:pt>
                <c:pt idx="5">
                  <c:v>1.0435141862650925</c:v>
                </c:pt>
                <c:pt idx="6">
                  <c:v>1.0008928571428561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green'!$AQ$56:$AQ$62</c:f>
              <c:numCache>
                <c:formatCode>General</c:formatCode>
                <c:ptCount val="7"/>
                <c:pt idx="0">
                  <c:v>1.0472177080414684</c:v>
                </c:pt>
                <c:pt idx="1">
                  <c:v>1.0495577094998352</c:v>
                </c:pt>
                <c:pt idx="2">
                  <c:v>1.064242456824795</c:v>
                </c:pt>
                <c:pt idx="3">
                  <c:v>1.0678297381801085</c:v>
                </c:pt>
                <c:pt idx="4">
                  <c:v>1.0495577094998352</c:v>
                </c:pt>
                <c:pt idx="5">
                  <c:v>1.0472177080414684</c:v>
                </c:pt>
                <c:pt idx="6">
                  <c:v>1.0008928571428573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77952"/>
        <c:axId val="164079488"/>
      </c:barChart>
      <c:catAx>
        <c:axId val="164077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079488"/>
        <c:crosses val="autoZero"/>
        <c:auto val="1"/>
        <c:lblAlgn val="ctr"/>
        <c:lblOffset val="100"/>
        <c:noMultiLvlLbl val="0"/>
      </c:catAx>
      <c:valAx>
        <c:axId val="16407948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LY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077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green'!$AR$49:$AR$55</c:f>
              <c:numCache>
                <c:formatCode>General</c:formatCode>
                <c:ptCount val="7"/>
                <c:pt idx="0">
                  <c:v>1.0380193423295228</c:v>
                </c:pt>
                <c:pt idx="1">
                  <c:v>1.0999999999999992</c:v>
                </c:pt>
                <c:pt idx="2">
                  <c:v>1.0429140321688226</c:v>
                </c:pt>
                <c:pt idx="3">
                  <c:v>1.0234715322658257</c:v>
                </c:pt>
                <c:pt idx="4">
                  <c:v>1.0395219405155087</c:v>
                </c:pt>
                <c:pt idx="5">
                  <c:v>1.0380193423295228</c:v>
                </c:pt>
                <c:pt idx="6">
                  <c:v>1.0380193423295228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green'!$AR$56:$AR$62</c:f>
              <c:numCache>
                <c:formatCode>General</c:formatCode>
                <c:ptCount val="7"/>
                <c:pt idx="0">
                  <c:v>1.0420567293699183</c:v>
                </c:pt>
                <c:pt idx="1">
                  <c:v>1.1000000000000008</c:v>
                </c:pt>
                <c:pt idx="2">
                  <c:v>1.0567474855891272</c:v>
                </c:pt>
                <c:pt idx="3">
                  <c:v>1.0594462246085694</c:v>
                </c:pt>
                <c:pt idx="4">
                  <c:v>1.0542831402154405</c:v>
                </c:pt>
                <c:pt idx="5">
                  <c:v>1.0420567293699183</c:v>
                </c:pt>
                <c:pt idx="6">
                  <c:v>1.0420567293699183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17120"/>
        <c:axId val="164127104"/>
      </c:barChart>
      <c:catAx>
        <c:axId val="164117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127104"/>
        <c:crosses val="autoZero"/>
        <c:auto val="1"/>
        <c:lblAlgn val="ctr"/>
        <c:lblOffset val="100"/>
        <c:noMultiLvlLbl val="0"/>
      </c:catAx>
      <c:valAx>
        <c:axId val="16412710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NO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117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green'!$AS$49:$AS$55</c:f>
              <c:numCache>
                <c:formatCode>General</c:formatCode>
                <c:ptCount val="7"/>
                <c:pt idx="0">
                  <c:v>1.0418192355156399</c:v>
                </c:pt>
                <c:pt idx="1">
                  <c:v>1.0448456310853147</c:v>
                </c:pt>
                <c:pt idx="2">
                  <c:v>1.1000000000000014</c:v>
                </c:pt>
                <c:pt idx="3">
                  <c:v>1.0483562149796279</c:v>
                </c:pt>
                <c:pt idx="4">
                  <c:v>1.0527922788277533</c:v>
                </c:pt>
                <c:pt idx="5">
                  <c:v>1.0422216344542821</c:v>
                </c:pt>
                <c:pt idx="6">
                  <c:v>1.0517005234479906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green'!$AS$56:$AS$62</c:f>
              <c:numCache>
                <c:formatCode>General</c:formatCode>
                <c:ptCount val="7"/>
                <c:pt idx="0">
                  <c:v>1.0823710892672271</c:v>
                </c:pt>
                <c:pt idx="1">
                  <c:v>1.0950261018899561</c:v>
                </c:pt>
                <c:pt idx="2">
                  <c:v>1.0999999999999999</c:v>
                </c:pt>
                <c:pt idx="3">
                  <c:v>1.1002938498922341</c:v>
                </c:pt>
                <c:pt idx="4">
                  <c:v>1.0928254018839156</c:v>
                </c:pt>
                <c:pt idx="5">
                  <c:v>1.0832092752122802</c:v>
                </c:pt>
                <c:pt idx="6">
                  <c:v>1.0930609422063831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61056"/>
        <c:axId val="168862848"/>
      </c:barChart>
      <c:catAx>
        <c:axId val="168861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862848"/>
        <c:crosses val="autoZero"/>
        <c:auto val="1"/>
        <c:lblAlgn val="ctr"/>
        <c:lblOffset val="100"/>
        <c:noMultiLvlLbl val="0"/>
      </c:catAx>
      <c:valAx>
        <c:axId val="16886284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RU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861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green'!$AS$49:$AS$55</c:f>
              <c:numCache>
                <c:formatCode>General</c:formatCode>
                <c:ptCount val="7"/>
                <c:pt idx="0">
                  <c:v>1.0368548428438726</c:v>
                </c:pt>
                <c:pt idx="1">
                  <c:v>1.038265096979456</c:v>
                </c:pt>
                <c:pt idx="2">
                  <c:v>1.1000000000000032</c:v>
                </c:pt>
                <c:pt idx="3">
                  <c:v>1.0225902156621192</c:v>
                </c:pt>
                <c:pt idx="4">
                  <c:v>1.038265096979456</c:v>
                </c:pt>
                <c:pt idx="5">
                  <c:v>1.0368548428438726</c:v>
                </c:pt>
                <c:pt idx="6">
                  <c:v>1.0368548428438726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green'!$AS$56:$AS$62</c:f>
              <c:numCache>
                <c:formatCode>General</c:formatCode>
                <c:ptCount val="7"/>
                <c:pt idx="0">
                  <c:v>1.0418192355156399</c:v>
                </c:pt>
                <c:pt idx="1">
                  <c:v>1.0448456310853147</c:v>
                </c:pt>
                <c:pt idx="2">
                  <c:v>1.1000000000000014</c:v>
                </c:pt>
                <c:pt idx="3">
                  <c:v>1.0483562149796279</c:v>
                </c:pt>
                <c:pt idx="4">
                  <c:v>1.0527922788277533</c:v>
                </c:pt>
                <c:pt idx="5">
                  <c:v>1.0422216344542821</c:v>
                </c:pt>
                <c:pt idx="6">
                  <c:v>1.0517005234479906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48352"/>
        <c:axId val="164149888"/>
      </c:barChart>
      <c:catAx>
        <c:axId val="164148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149888"/>
        <c:crosses val="autoZero"/>
        <c:auto val="1"/>
        <c:lblAlgn val="ctr"/>
        <c:lblOffset val="100"/>
        <c:noMultiLvlLbl val="0"/>
      </c:catAx>
      <c:valAx>
        <c:axId val="16414988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RU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148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green'!$AT$49:$AT$55</c:f>
              <c:numCache>
                <c:formatCode>General</c:formatCode>
                <c:ptCount val="7"/>
                <c:pt idx="0">
                  <c:v>1.0965571291480409</c:v>
                </c:pt>
                <c:pt idx="1">
                  <c:v>0.99999999999999956</c:v>
                </c:pt>
                <c:pt idx="2">
                  <c:v>0.99999999999999967</c:v>
                </c:pt>
                <c:pt idx="3">
                  <c:v>1.0000000000000011</c:v>
                </c:pt>
                <c:pt idx="4">
                  <c:v>1.0000000000000002</c:v>
                </c:pt>
                <c:pt idx="5">
                  <c:v>1.0965571291480409</c:v>
                </c:pt>
                <c:pt idx="6">
                  <c:v>1.0895865026898781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green'!$AT$56:$AT$62</c:f>
              <c:numCache>
                <c:formatCode>General</c:formatCode>
                <c:ptCount val="7"/>
                <c:pt idx="0">
                  <c:v>1.0965571291480389</c:v>
                </c:pt>
                <c:pt idx="1">
                  <c:v>1.0965571291480409</c:v>
                </c:pt>
                <c:pt idx="2">
                  <c:v>1.0965571291480409</c:v>
                </c:pt>
                <c:pt idx="3">
                  <c:v>1.0965571291480418</c:v>
                </c:pt>
                <c:pt idx="4">
                  <c:v>1.0965571291480409</c:v>
                </c:pt>
                <c:pt idx="5">
                  <c:v>1.0965571291480409</c:v>
                </c:pt>
                <c:pt idx="6">
                  <c:v>1.0965571291480407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62944"/>
        <c:axId val="166151296"/>
      </c:barChart>
      <c:catAx>
        <c:axId val="164162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6151296"/>
        <c:crosses val="autoZero"/>
        <c:auto val="1"/>
        <c:lblAlgn val="ctr"/>
        <c:lblOffset val="100"/>
        <c:noMultiLvlLbl val="0"/>
      </c:catAx>
      <c:valAx>
        <c:axId val="16615129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NP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4162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green'!$AU$49:$AU$55</c:f>
              <c:numCache>
                <c:formatCode>General</c:formatCode>
                <c:ptCount val="7"/>
                <c:pt idx="0">
                  <c:v>1.0721541956195593</c:v>
                </c:pt>
                <c:pt idx="1">
                  <c:v>1.0664490293579281</c:v>
                </c:pt>
                <c:pt idx="2">
                  <c:v>1.0775980714461109</c:v>
                </c:pt>
                <c:pt idx="3">
                  <c:v>1.0999107939339894</c:v>
                </c:pt>
                <c:pt idx="4">
                  <c:v>1.0754088321898641</c:v>
                </c:pt>
                <c:pt idx="5">
                  <c:v>1.0695379093103476</c:v>
                </c:pt>
                <c:pt idx="6">
                  <c:v>1.0623086781727717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green'!$AU$56:$AU$62</c:f>
              <c:numCache>
                <c:formatCode>General</c:formatCode>
                <c:ptCount val="7"/>
                <c:pt idx="0">
                  <c:v>1.0634741124471716</c:v>
                </c:pt>
                <c:pt idx="1">
                  <c:v>1.0782547530722872</c:v>
                </c:pt>
                <c:pt idx="2">
                  <c:v>1.0892573161753465</c:v>
                </c:pt>
                <c:pt idx="3">
                  <c:v>1.0999107939339854</c:v>
                </c:pt>
                <c:pt idx="4">
                  <c:v>1.083248083277969</c:v>
                </c:pt>
                <c:pt idx="5">
                  <c:v>1.0634741124471716</c:v>
                </c:pt>
                <c:pt idx="6">
                  <c:v>1.0671950795671792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89312"/>
        <c:axId val="166191104"/>
      </c:barChart>
      <c:catAx>
        <c:axId val="166189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6191104"/>
        <c:crosses val="autoZero"/>
        <c:auto val="1"/>
        <c:lblAlgn val="ctr"/>
        <c:lblOffset val="100"/>
        <c:noMultiLvlLbl val="0"/>
      </c:catAx>
      <c:valAx>
        <c:axId val="16619110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LNG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6189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green'!$AO$49:$AU$49</c:f>
              <c:numCache>
                <c:formatCode>General</c:formatCode>
                <c:ptCount val="7"/>
                <c:pt idx="0">
                  <c:v>1.0114505048234288</c:v>
                </c:pt>
                <c:pt idx="1">
                  <c:v>1.1424004938159773</c:v>
                </c:pt>
                <c:pt idx="2">
                  <c:v>1.0435141862650925</c:v>
                </c:pt>
                <c:pt idx="3">
                  <c:v>1.0380193423295228</c:v>
                </c:pt>
                <c:pt idx="4">
                  <c:v>1.0368548428438726</c:v>
                </c:pt>
                <c:pt idx="5">
                  <c:v>1.0965571291480409</c:v>
                </c:pt>
                <c:pt idx="6">
                  <c:v>1.0721541956195593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green'!$D$59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green'!$AO$56:$AU$56</c:f>
              <c:numCache>
                <c:formatCode>General</c:formatCode>
                <c:ptCount val="7"/>
                <c:pt idx="0">
                  <c:v>1.0070544327973134</c:v>
                </c:pt>
                <c:pt idx="1">
                  <c:v>1.1013234062292743</c:v>
                </c:pt>
                <c:pt idx="2">
                  <c:v>1.0472177080414684</c:v>
                </c:pt>
                <c:pt idx="3">
                  <c:v>1.0420567293699183</c:v>
                </c:pt>
                <c:pt idx="4">
                  <c:v>1.0418192355156399</c:v>
                </c:pt>
                <c:pt idx="5">
                  <c:v>1.0965571291480389</c:v>
                </c:pt>
                <c:pt idx="6">
                  <c:v>1.0634741124471716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77184"/>
        <c:axId val="166078720"/>
      </c:barChart>
      <c:catAx>
        <c:axId val="166077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6078720"/>
        <c:crosses val="autoZero"/>
        <c:auto val="1"/>
        <c:lblAlgn val="ctr"/>
        <c:lblOffset val="100"/>
        <c:noMultiLvlLbl val="0"/>
      </c:catAx>
      <c:valAx>
        <c:axId val="166078720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REF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6077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green'!$AO$50:$AU$50</c:f>
              <c:numCache>
                <c:formatCode>General</c:formatCode>
                <c:ptCount val="7"/>
                <c:pt idx="0">
                  <c:v>1.0115831375963462</c:v>
                </c:pt>
                <c:pt idx="1">
                  <c:v>1.139287736661502</c:v>
                </c:pt>
                <c:pt idx="2">
                  <c:v>1.0454938124959505</c:v>
                </c:pt>
                <c:pt idx="3">
                  <c:v>1.0999999999999992</c:v>
                </c:pt>
                <c:pt idx="4">
                  <c:v>1.038265096979456</c:v>
                </c:pt>
                <c:pt idx="5">
                  <c:v>0.99999999999999956</c:v>
                </c:pt>
                <c:pt idx="6">
                  <c:v>1.0664490293579281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green'!$AO$57:$AU$57</c:f>
              <c:numCache>
                <c:formatCode>General</c:formatCode>
                <c:ptCount val="7"/>
                <c:pt idx="0">
                  <c:v>1.0106367500392841</c:v>
                </c:pt>
                <c:pt idx="1">
                  <c:v>1.1370706030854847</c:v>
                </c:pt>
                <c:pt idx="2">
                  <c:v>1.0495577094998352</c:v>
                </c:pt>
                <c:pt idx="3">
                  <c:v>1.1000000000000008</c:v>
                </c:pt>
                <c:pt idx="4">
                  <c:v>1.0448456310853147</c:v>
                </c:pt>
                <c:pt idx="5">
                  <c:v>1.0965571291480409</c:v>
                </c:pt>
                <c:pt idx="6">
                  <c:v>1.0782547530722872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04064"/>
        <c:axId val="166130432"/>
      </c:barChart>
      <c:catAx>
        <c:axId val="166104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6130432"/>
        <c:crosses val="autoZero"/>
        <c:auto val="1"/>
        <c:lblAlgn val="ctr"/>
        <c:lblOffset val="100"/>
        <c:noMultiLvlLbl val="0"/>
      </c:catAx>
      <c:valAx>
        <c:axId val="16613043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No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6104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green'!$AO$51:$AU$51</c:f>
              <c:numCache>
                <c:formatCode>General</c:formatCode>
                <c:ptCount val="7"/>
                <c:pt idx="0">
                  <c:v>1.0118578395710398</c:v>
                </c:pt>
                <c:pt idx="1">
                  <c:v>1.2163356073892926</c:v>
                </c:pt>
                <c:pt idx="2">
                  <c:v>1.0500475172249941</c:v>
                </c:pt>
                <c:pt idx="3">
                  <c:v>1.0429140321688226</c:v>
                </c:pt>
                <c:pt idx="4">
                  <c:v>1.1000000000000032</c:v>
                </c:pt>
                <c:pt idx="5">
                  <c:v>0.99999999999999967</c:v>
                </c:pt>
                <c:pt idx="6">
                  <c:v>1.0775980714461109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green'!$AO$58:$AU$58</c:f>
              <c:numCache>
                <c:formatCode>General</c:formatCode>
                <c:ptCount val="7"/>
                <c:pt idx="0">
                  <c:v>1.0143818685448587</c:v>
                </c:pt>
                <c:pt idx="1">
                  <c:v>1.1344634230512578</c:v>
                </c:pt>
                <c:pt idx="2">
                  <c:v>1.064242456824795</c:v>
                </c:pt>
                <c:pt idx="3">
                  <c:v>1.0567474855891272</c:v>
                </c:pt>
                <c:pt idx="4">
                  <c:v>1.1000000000000014</c:v>
                </c:pt>
                <c:pt idx="5">
                  <c:v>1.0965571291480409</c:v>
                </c:pt>
                <c:pt idx="6">
                  <c:v>1.0892573161753465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09376"/>
        <c:axId val="172710912"/>
      </c:barChart>
      <c:catAx>
        <c:axId val="172709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710912"/>
        <c:crosses val="autoZero"/>
        <c:auto val="1"/>
        <c:lblAlgn val="ctr"/>
        <c:lblOffset val="100"/>
        <c:noMultiLvlLbl val="0"/>
      </c:catAx>
      <c:valAx>
        <c:axId val="17271091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RU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709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green'!$AO$52:$AU$52</c:f>
              <c:numCache>
                <c:formatCode>General</c:formatCode>
                <c:ptCount val="7"/>
                <c:pt idx="0">
                  <c:v>1.0060729437714515</c:v>
                </c:pt>
                <c:pt idx="1">
                  <c:v>1.1785497080828313</c:v>
                </c:pt>
                <c:pt idx="2">
                  <c:v>1.0278071124957098</c:v>
                </c:pt>
                <c:pt idx="3">
                  <c:v>1.0234715322658257</c:v>
                </c:pt>
                <c:pt idx="4">
                  <c:v>1.0225902156621192</c:v>
                </c:pt>
                <c:pt idx="5">
                  <c:v>1.0000000000000011</c:v>
                </c:pt>
                <c:pt idx="6">
                  <c:v>1.0999107939339894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green'!$AO$59:$AU$59</c:f>
              <c:numCache>
                <c:formatCode>General</c:formatCode>
                <c:ptCount val="7"/>
                <c:pt idx="0">
                  <c:v>1.0181733608461037</c:v>
                </c:pt>
                <c:pt idx="1">
                  <c:v>1.1755768918006737</c:v>
                </c:pt>
                <c:pt idx="2">
                  <c:v>1.0678297381801085</c:v>
                </c:pt>
                <c:pt idx="3">
                  <c:v>1.0594462246085694</c:v>
                </c:pt>
                <c:pt idx="4">
                  <c:v>1.0483562149796279</c:v>
                </c:pt>
                <c:pt idx="5">
                  <c:v>1.0965571291480418</c:v>
                </c:pt>
                <c:pt idx="6">
                  <c:v>1.0999107939339854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44704"/>
        <c:axId val="172746240"/>
      </c:barChart>
      <c:catAx>
        <c:axId val="172744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746240"/>
        <c:crosses val="autoZero"/>
        <c:auto val="1"/>
        <c:lblAlgn val="ctr"/>
        <c:lblOffset val="100"/>
        <c:noMultiLvlLbl val="0"/>
      </c:catAx>
      <c:valAx>
        <c:axId val="172746240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LNG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744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green'!$AO$53:$AU$53</c:f>
              <c:numCache>
                <c:formatCode>General</c:formatCode>
                <c:ptCount val="7"/>
                <c:pt idx="0">
                  <c:v>1.0115831375963462</c:v>
                </c:pt>
                <c:pt idx="1">
                  <c:v>1.0627018633540386</c:v>
                </c:pt>
                <c:pt idx="2">
                  <c:v>1.0454938124959505</c:v>
                </c:pt>
                <c:pt idx="3">
                  <c:v>1.0395219405155087</c:v>
                </c:pt>
                <c:pt idx="4">
                  <c:v>1.038265096979456</c:v>
                </c:pt>
                <c:pt idx="5">
                  <c:v>1.0000000000000002</c:v>
                </c:pt>
                <c:pt idx="6">
                  <c:v>1.0754088321898641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green'!$AO$60:$AU$60</c:f>
              <c:numCache>
                <c:formatCode>General</c:formatCode>
                <c:ptCount val="7"/>
                <c:pt idx="0">
                  <c:v>1.0106367500392841</c:v>
                </c:pt>
                <c:pt idx="1">
                  <c:v>1.0627018633540379</c:v>
                </c:pt>
                <c:pt idx="2">
                  <c:v>1.0495577094998352</c:v>
                </c:pt>
                <c:pt idx="3">
                  <c:v>1.0542831402154405</c:v>
                </c:pt>
                <c:pt idx="4">
                  <c:v>1.0527922788277533</c:v>
                </c:pt>
                <c:pt idx="5">
                  <c:v>1.0965571291480409</c:v>
                </c:pt>
                <c:pt idx="6">
                  <c:v>1.083248083277969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59296"/>
        <c:axId val="172769280"/>
      </c:barChart>
      <c:catAx>
        <c:axId val="172759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769280"/>
        <c:crosses val="autoZero"/>
        <c:auto val="1"/>
        <c:lblAlgn val="ctr"/>
        <c:lblOffset val="100"/>
        <c:noMultiLvlLbl val="0"/>
      </c:catAx>
      <c:valAx>
        <c:axId val="172769280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DZ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759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green'!$D$51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green'!$AO$54:$AU$54</c:f>
              <c:numCache>
                <c:formatCode>General</c:formatCode>
                <c:ptCount val="7"/>
                <c:pt idx="0">
                  <c:v>1</c:v>
                </c:pt>
                <c:pt idx="1">
                  <c:v>1.1424004938159773</c:v>
                </c:pt>
                <c:pt idx="2">
                  <c:v>1.0435141862650925</c:v>
                </c:pt>
                <c:pt idx="3">
                  <c:v>1.0380193423295228</c:v>
                </c:pt>
                <c:pt idx="4">
                  <c:v>1.0368548428438726</c:v>
                </c:pt>
                <c:pt idx="5">
                  <c:v>1.0965571291480409</c:v>
                </c:pt>
                <c:pt idx="6">
                  <c:v>1.0695379093103476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green'!$AO$61:$AU$61</c:f>
              <c:numCache>
                <c:formatCode>General</c:formatCode>
                <c:ptCount val="7"/>
                <c:pt idx="0">
                  <c:v>1</c:v>
                </c:pt>
                <c:pt idx="1">
                  <c:v>1.1013234062292743</c:v>
                </c:pt>
                <c:pt idx="2">
                  <c:v>1.0472177080414684</c:v>
                </c:pt>
                <c:pt idx="3">
                  <c:v>1.0420567293699183</c:v>
                </c:pt>
                <c:pt idx="4">
                  <c:v>1.0422216344542821</c:v>
                </c:pt>
                <c:pt idx="5">
                  <c:v>1.0965571291480409</c:v>
                </c:pt>
                <c:pt idx="6">
                  <c:v>1.0634741124471716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823296"/>
        <c:axId val="172824832"/>
      </c:barChart>
      <c:catAx>
        <c:axId val="172823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824832"/>
        <c:crosses val="autoZero"/>
        <c:auto val="1"/>
        <c:lblAlgn val="ctr"/>
        <c:lblOffset val="100"/>
        <c:noMultiLvlLbl val="0"/>
      </c:catAx>
      <c:valAx>
        <c:axId val="17282483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AZ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823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intermediate vs green'!$D$49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green'!$AO$55:$AU$55</c:f>
              <c:numCache>
                <c:formatCode>General</c:formatCode>
                <c:ptCount val="7"/>
                <c:pt idx="0">
                  <c:v>1.0114505048234288</c:v>
                </c:pt>
                <c:pt idx="1">
                  <c:v>1.1172599705963349</c:v>
                </c:pt>
                <c:pt idx="2">
                  <c:v>1.0008928571428561</c:v>
                </c:pt>
                <c:pt idx="3">
                  <c:v>1.0380193423295228</c:v>
                </c:pt>
                <c:pt idx="4">
                  <c:v>1.0368548428438726</c:v>
                </c:pt>
                <c:pt idx="5">
                  <c:v>1.0895865026898781</c:v>
                </c:pt>
                <c:pt idx="6">
                  <c:v>1.0623086781727717</c:v>
                </c:pt>
              </c:numCache>
            </c:numRef>
          </c:val>
        </c:ser>
        <c:ser>
          <c:idx val="1"/>
          <c:order val="1"/>
          <c:tx>
            <c:strRef>
              <c:f>'stg 2x500 intermediate vs green'!$C$57</c:f>
              <c:strCache>
                <c:ptCount val="1"/>
                <c:pt idx="0">
                  <c:v>FID</c:v>
                </c:pt>
              </c:strCache>
            </c:strRef>
          </c:tx>
          <c:invertIfNegative val="0"/>
          <c:cat>
            <c:strRef>
              <c:f>'stg 2x500 intermediate vs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intermediate vs green'!$AO$62:$AU$62</c:f>
              <c:numCache>
                <c:formatCode>General</c:formatCode>
                <c:ptCount val="7"/>
                <c:pt idx="0">
                  <c:v>1.0070544327973134</c:v>
                </c:pt>
                <c:pt idx="1">
                  <c:v>1.1013234062292743</c:v>
                </c:pt>
                <c:pt idx="2">
                  <c:v>1.0008928571428573</c:v>
                </c:pt>
                <c:pt idx="3">
                  <c:v>1.0420567293699183</c:v>
                </c:pt>
                <c:pt idx="4">
                  <c:v>1.0517005234479906</c:v>
                </c:pt>
                <c:pt idx="5">
                  <c:v>1.0965571291480407</c:v>
                </c:pt>
                <c:pt idx="6">
                  <c:v>1.0671950795671792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841984"/>
        <c:axId val="172868352"/>
      </c:barChart>
      <c:catAx>
        <c:axId val="172841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868352"/>
        <c:crosses val="autoZero"/>
        <c:auto val="1"/>
        <c:lblAlgn val="ctr"/>
        <c:lblOffset val="100"/>
        <c:noMultiLvlLbl val="0"/>
      </c:catAx>
      <c:valAx>
        <c:axId val="17286835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LY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2841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green'!$AT$49:$AT$55</c:f>
              <c:numCache>
                <c:formatCode>General</c:formatCode>
                <c:ptCount val="7"/>
                <c:pt idx="0">
                  <c:v>1.0965571291480389</c:v>
                </c:pt>
                <c:pt idx="1">
                  <c:v>1.0965571291480409</c:v>
                </c:pt>
                <c:pt idx="2">
                  <c:v>1.0965571291480409</c:v>
                </c:pt>
                <c:pt idx="3">
                  <c:v>1.0965571291480418</c:v>
                </c:pt>
                <c:pt idx="4">
                  <c:v>1.0965571291480409</c:v>
                </c:pt>
                <c:pt idx="5">
                  <c:v>1.0965571291480409</c:v>
                </c:pt>
                <c:pt idx="6">
                  <c:v>1.0965571291480407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green'!$AT$56:$AT$62</c:f>
              <c:numCache>
                <c:formatCode>General</c:formatCode>
                <c:ptCount val="7"/>
                <c:pt idx="0">
                  <c:v>1.09655712914804</c:v>
                </c:pt>
                <c:pt idx="1">
                  <c:v>1.0965571291480412</c:v>
                </c:pt>
                <c:pt idx="2">
                  <c:v>1.0965571291480405</c:v>
                </c:pt>
                <c:pt idx="3">
                  <c:v>1.0965571291480414</c:v>
                </c:pt>
                <c:pt idx="4">
                  <c:v>1.0965571291480403</c:v>
                </c:pt>
                <c:pt idx="5">
                  <c:v>1.0965571291480409</c:v>
                </c:pt>
                <c:pt idx="6">
                  <c:v>1.0965571291480398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53728"/>
        <c:axId val="168955264"/>
      </c:barChart>
      <c:catAx>
        <c:axId val="168953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955264"/>
        <c:crosses val="autoZero"/>
        <c:auto val="1"/>
        <c:lblAlgn val="ctr"/>
        <c:lblOffset val="100"/>
        <c:noMultiLvlLbl val="0"/>
      </c:catAx>
      <c:valAx>
        <c:axId val="16895526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NP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953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intermediate vs green'!$S$48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green'!$S$49:$S$55</c:f>
              <c:numCache>
                <c:formatCode>General</c:formatCode>
                <c:ptCount val="7"/>
                <c:pt idx="0">
                  <c:v>6128.0000000000073</c:v>
                </c:pt>
                <c:pt idx="1">
                  <c:v>5536.2979125808151</c:v>
                </c:pt>
                <c:pt idx="2">
                  <c:v>5536.297912580816</c:v>
                </c:pt>
                <c:pt idx="3">
                  <c:v>5536.2979125808197</c:v>
                </c:pt>
                <c:pt idx="4">
                  <c:v>5536.2979125808179</c:v>
                </c:pt>
                <c:pt idx="5">
                  <c:v>6128.0000000000073</c:v>
                </c:pt>
                <c:pt idx="6">
                  <c:v>6081.0806616314239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green'!$M$49:$M$55</c:f>
              <c:numCache>
                <c:formatCode>General</c:formatCode>
                <c:ptCount val="7"/>
                <c:pt idx="0">
                  <c:v>4405.1436555891232</c:v>
                </c:pt>
                <c:pt idx="1">
                  <c:v>6124.0000000000055</c:v>
                </c:pt>
                <c:pt idx="2">
                  <c:v>3902.7016616314199</c:v>
                </c:pt>
                <c:pt idx="3">
                  <c:v>3567.7403323262843</c:v>
                </c:pt>
                <c:pt idx="4">
                  <c:v>4237.6629909365565</c:v>
                </c:pt>
                <c:pt idx="5">
                  <c:v>4405.1436555891232</c:v>
                </c:pt>
                <c:pt idx="6">
                  <c:v>4405.1436555891232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green'!$N$49:$N$55</c:f>
              <c:numCache>
                <c:formatCode>General</c:formatCode>
                <c:ptCount val="7"/>
                <c:pt idx="0">
                  <c:v>8333.1413897280963</c:v>
                </c:pt>
                <c:pt idx="1">
                  <c:v>8026.0247734138975</c:v>
                </c:pt>
                <c:pt idx="2">
                  <c:v>11503.999999999967</c:v>
                </c:pt>
                <c:pt idx="3">
                  <c:v>6797.5583081570994</c:v>
                </c:pt>
                <c:pt idx="4">
                  <c:v>8026.0247734138975</c:v>
                </c:pt>
                <c:pt idx="5">
                  <c:v>8333.1413897280963</c:v>
                </c:pt>
                <c:pt idx="6">
                  <c:v>8333.1413897280963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green'!$O$49:$O$55</c:f>
              <c:numCache>
                <c:formatCode>General</c:formatCode>
                <c:ptCount val="7"/>
                <c:pt idx="0">
                  <c:v>7115.6127818731075</c:v>
                </c:pt>
                <c:pt idx="1">
                  <c:v>6602.1914652567975</c:v>
                </c:pt>
                <c:pt idx="2">
                  <c:v>5730.7597242772244</c:v>
                </c:pt>
                <c:pt idx="3">
                  <c:v>11209.999999999982</c:v>
                </c:pt>
                <c:pt idx="4">
                  <c:v>6666.1703738240267</c:v>
                </c:pt>
                <c:pt idx="5">
                  <c:v>7095.6050024169135</c:v>
                </c:pt>
                <c:pt idx="6">
                  <c:v>7040.9006797583079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green'!$P$49:$P$55</c:f>
              <c:numCache>
                <c:formatCode>General</c:formatCode>
                <c:ptCount val="7"/>
                <c:pt idx="0">
                  <c:v>1617.5895015105741</c:v>
                </c:pt>
                <c:pt idx="1">
                  <c:v>1397.6418995037734</c:v>
                </c:pt>
                <c:pt idx="2">
                  <c:v>1064.7601963746224</c:v>
                </c:pt>
                <c:pt idx="3">
                  <c:v>679.28638590862693</c:v>
                </c:pt>
                <c:pt idx="4">
                  <c:v>3219.9999999999964</c:v>
                </c:pt>
                <c:pt idx="5">
                  <c:v>1617.5895015105741</c:v>
                </c:pt>
                <c:pt idx="6">
                  <c:v>1571.5203927492448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green'!$R$49:$R$55</c:f>
              <c:numCache>
                <c:formatCode>General</c:formatCode>
                <c:ptCount val="7"/>
                <c:pt idx="0">
                  <c:v>507.99222054380658</c:v>
                </c:pt>
                <c:pt idx="1">
                  <c:v>502.17545317220538</c:v>
                </c:pt>
                <c:pt idx="2">
                  <c:v>490.54191842900298</c:v>
                </c:pt>
                <c:pt idx="3">
                  <c:v>478.90838368580057</c:v>
                </c:pt>
                <c:pt idx="4">
                  <c:v>502.17545317220538</c:v>
                </c:pt>
                <c:pt idx="5">
                  <c:v>528</c:v>
                </c:pt>
                <c:pt idx="6">
                  <c:v>507.99222054380658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green'!$Q$49:$Q$55</c:f>
              <c:numCache>
                <c:formatCode>General</c:formatCode>
                <c:ptCount val="7"/>
                <c:pt idx="0">
                  <c:v>468.00725075528698</c:v>
                </c:pt>
                <c:pt idx="1">
                  <c:v>447.64229607250752</c:v>
                </c:pt>
                <c:pt idx="2">
                  <c:v>406.91238670694861</c:v>
                </c:pt>
                <c:pt idx="3">
                  <c:v>366.1824773413897</c:v>
                </c:pt>
                <c:pt idx="4">
                  <c:v>447.64229607250752</c:v>
                </c:pt>
                <c:pt idx="5">
                  <c:v>468.00725075528698</c:v>
                </c:pt>
                <c:pt idx="6">
                  <c:v>672.00000000000068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902272"/>
        <c:axId val="172903808"/>
      </c:barChart>
      <c:catAx>
        <c:axId val="17290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903808"/>
        <c:crosses val="autoZero"/>
        <c:auto val="1"/>
        <c:lblAlgn val="ctr"/>
        <c:lblOffset val="100"/>
        <c:noMultiLvlLbl val="0"/>
      </c:catAx>
      <c:valAx>
        <c:axId val="17290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290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intermediate vs green'!$S$48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green'!$S$49:$S$55</c:f>
              <c:numCache>
                <c:formatCode>General</c:formatCode>
                <c:ptCount val="7"/>
                <c:pt idx="0">
                  <c:v>6128.0000000000073</c:v>
                </c:pt>
                <c:pt idx="1">
                  <c:v>5536.2979125808151</c:v>
                </c:pt>
                <c:pt idx="2">
                  <c:v>5536.297912580816</c:v>
                </c:pt>
                <c:pt idx="3">
                  <c:v>5536.2979125808197</c:v>
                </c:pt>
                <c:pt idx="4">
                  <c:v>5536.2979125808179</c:v>
                </c:pt>
                <c:pt idx="5">
                  <c:v>6128.0000000000073</c:v>
                </c:pt>
                <c:pt idx="6">
                  <c:v>6081.0806616314239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green'!$M$49:$M$55</c:f>
              <c:numCache>
                <c:formatCode>General</c:formatCode>
                <c:ptCount val="7"/>
                <c:pt idx="0">
                  <c:v>4405.1436555891232</c:v>
                </c:pt>
                <c:pt idx="1">
                  <c:v>6124.0000000000055</c:v>
                </c:pt>
                <c:pt idx="2">
                  <c:v>3902.7016616314199</c:v>
                </c:pt>
                <c:pt idx="3">
                  <c:v>3567.7403323262843</c:v>
                </c:pt>
                <c:pt idx="4">
                  <c:v>4237.6629909365565</c:v>
                </c:pt>
                <c:pt idx="5">
                  <c:v>4405.1436555891232</c:v>
                </c:pt>
                <c:pt idx="6">
                  <c:v>4405.1436555891232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green'!$N$49:$N$55</c:f>
              <c:numCache>
                <c:formatCode>General</c:formatCode>
                <c:ptCount val="7"/>
                <c:pt idx="0">
                  <c:v>8333.1413897280963</c:v>
                </c:pt>
                <c:pt idx="1">
                  <c:v>8026.0247734138975</c:v>
                </c:pt>
                <c:pt idx="2">
                  <c:v>11503.999999999967</c:v>
                </c:pt>
                <c:pt idx="3">
                  <c:v>6797.5583081570994</c:v>
                </c:pt>
                <c:pt idx="4">
                  <c:v>8026.0247734138975</c:v>
                </c:pt>
                <c:pt idx="5">
                  <c:v>8333.1413897280963</c:v>
                </c:pt>
                <c:pt idx="6">
                  <c:v>8333.1413897280963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green'!$O$49:$O$55</c:f>
              <c:numCache>
                <c:formatCode>General</c:formatCode>
                <c:ptCount val="7"/>
                <c:pt idx="0">
                  <c:v>7115.6127818731075</c:v>
                </c:pt>
                <c:pt idx="1">
                  <c:v>6602.1914652567975</c:v>
                </c:pt>
                <c:pt idx="2">
                  <c:v>5730.7597242772244</c:v>
                </c:pt>
                <c:pt idx="3">
                  <c:v>11209.999999999982</c:v>
                </c:pt>
                <c:pt idx="4">
                  <c:v>6666.1703738240267</c:v>
                </c:pt>
                <c:pt idx="5">
                  <c:v>7095.6050024169135</c:v>
                </c:pt>
                <c:pt idx="6">
                  <c:v>7040.9006797583079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green'!$P$49:$P$55</c:f>
              <c:numCache>
                <c:formatCode>General</c:formatCode>
                <c:ptCount val="7"/>
                <c:pt idx="0">
                  <c:v>1617.5895015105741</c:v>
                </c:pt>
                <c:pt idx="1">
                  <c:v>1397.6418995037734</c:v>
                </c:pt>
                <c:pt idx="2">
                  <c:v>1064.7601963746224</c:v>
                </c:pt>
                <c:pt idx="3">
                  <c:v>679.28638590862693</c:v>
                </c:pt>
                <c:pt idx="4">
                  <c:v>3219.9999999999964</c:v>
                </c:pt>
                <c:pt idx="5">
                  <c:v>1617.5895015105741</c:v>
                </c:pt>
                <c:pt idx="6">
                  <c:v>1571.5203927492448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green'!$R$49:$R$55</c:f>
              <c:numCache>
                <c:formatCode>General</c:formatCode>
                <c:ptCount val="7"/>
                <c:pt idx="0">
                  <c:v>507.99222054380658</c:v>
                </c:pt>
                <c:pt idx="1">
                  <c:v>502.17545317220538</c:v>
                </c:pt>
                <c:pt idx="2">
                  <c:v>490.54191842900298</c:v>
                </c:pt>
                <c:pt idx="3">
                  <c:v>478.90838368580057</c:v>
                </c:pt>
                <c:pt idx="4">
                  <c:v>502.17545317220538</c:v>
                </c:pt>
                <c:pt idx="5">
                  <c:v>528</c:v>
                </c:pt>
                <c:pt idx="6">
                  <c:v>507.99222054380658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green'!$Q$49:$Q$55</c:f>
              <c:numCache>
                <c:formatCode>General</c:formatCode>
                <c:ptCount val="7"/>
                <c:pt idx="0">
                  <c:v>468.00725075528698</c:v>
                </c:pt>
                <c:pt idx="1">
                  <c:v>447.64229607250752</c:v>
                </c:pt>
                <c:pt idx="2">
                  <c:v>406.91238670694861</c:v>
                </c:pt>
                <c:pt idx="3">
                  <c:v>366.1824773413897</c:v>
                </c:pt>
                <c:pt idx="4">
                  <c:v>447.64229607250752</c:v>
                </c:pt>
                <c:pt idx="5">
                  <c:v>468.00725075528698</c:v>
                </c:pt>
                <c:pt idx="6">
                  <c:v>672.00000000000068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961792"/>
        <c:axId val="172963328"/>
      </c:barChart>
      <c:catAx>
        <c:axId val="17296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963328"/>
        <c:crosses val="autoZero"/>
        <c:auto val="1"/>
        <c:lblAlgn val="ctr"/>
        <c:lblOffset val="100"/>
        <c:noMultiLvlLbl val="0"/>
      </c:catAx>
      <c:valAx>
        <c:axId val="1729633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296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2953240120534975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intermediate vs green'!$S$48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green'!$S$56:$S$62</c:f>
              <c:numCache>
                <c:formatCode>General</c:formatCode>
                <c:ptCount val="7"/>
                <c:pt idx="0">
                  <c:v>6128</c:v>
                </c:pt>
                <c:pt idx="1">
                  <c:v>6128.0000000000109</c:v>
                </c:pt>
                <c:pt idx="2">
                  <c:v>6128.0000000000055</c:v>
                </c:pt>
                <c:pt idx="3">
                  <c:v>6128.0000000000127</c:v>
                </c:pt>
                <c:pt idx="4">
                  <c:v>6128.0000000000146</c:v>
                </c:pt>
                <c:pt idx="5">
                  <c:v>6128.0000000000073</c:v>
                </c:pt>
                <c:pt idx="6">
                  <c:v>6128.0000000000055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green'!$M$56:$M$62</c:f>
              <c:numCache>
                <c:formatCode>General</c:formatCode>
                <c:ptCount val="7"/>
                <c:pt idx="0">
                  <c:v>5089.2924710424713</c:v>
                </c:pt>
                <c:pt idx="1">
                  <c:v>6123.9999999999964</c:v>
                </c:pt>
                <c:pt idx="2">
                  <c:v>4714.7242277992282</c:v>
                </c:pt>
                <c:pt idx="3">
                  <c:v>4500.6852316602317</c:v>
                </c:pt>
                <c:pt idx="4">
                  <c:v>4928.7632239382237</c:v>
                </c:pt>
                <c:pt idx="5">
                  <c:v>5089.2924710424713</c:v>
                </c:pt>
                <c:pt idx="6">
                  <c:v>5089.2924710424713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green'!$N$56:$N$62</c:f>
              <c:numCache>
                <c:formatCode>General</c:formatCode>
                <c:ptCount val="7"/>
                <c:pt idx="0">
                  <c:v>9579.5770557528922</c:v>
                </c:pt>
                <c:pt idx="1">
                  <c:v>9216.0073167145929</c:v>
                </c:pt>
                <c:pt idx="2">
                  <c:v>11503.999999999985</c:v>
                </c:pt>
                <c:pt idx="3">
                  <c:v>8583.8724051737081</c:v>
                </c:pt>
                <c:pt idx="4">
                  <c:v>9293.3254826254815</c:v>
                </c:pt>
                <c:pt idx="5">
                  <c:v>9575.8784071042355</c:v>
                </c:pt>
                <c:pt idx="6">
                  <c:v>9489.5718146718136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green'!$O$56:$O$62</c:f>
              <c:numCache>
                <c:formatCode>General</c:formatCode>
                <c:ptCount val="7"/>
                <c:pt idx="0">
                  <c:v>8833.0024131274149</c:v>
                </c:pt>
                <c:pt idx="1">
                  <c:v>8366.3772197332746</c:v>
                </c:pt>
                <c:pt idx="2">
                  <c:v>7851.835183397684</c:v>
                </c:pt>
                <c:pt idx="3">
                  <c:v>11210.000000000022</c:v>
                </c:pt>
                <c:pt idx="4">
                  <c:v>8411.94689166022</c:v>
                </c:pt>
                <c:pt idx="5">
                  <c:v>8833.0024131274149</c:v>
                </c:pt>
                <c:pt idx="6">
                  <c:v>8802.2045654053982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green'!$P$56:$P$62</c:f>
              <c:numCache>
                <c:formatCode>General</c:formatCode>
                <c:ptCount val="7"/>
                <c:pt idx="0">
                  <c:v>2324.278957528958</c:v>
                </c:pt>
                <c:pt idx="1">
                  <c:v>2147.6510617760619</c:v>
                </c:pt>
                <c:pt idx="2">
                  <c:v>1869.0918646332148</c:v>
                </c:pt>
                <c:pt idx="3">
                  <c:v>1676.64333976834</c:v>
                </c:pt>
                <c:pt idx="4">
                  <c:v>3219.9999999999982</c:v>
                </c:pt>
                <c:pt idx="5">
                  <c:v>2324.278957528958</c:v>
                </c:pt>
                <c:pt idx="6">
                  <c:v>2324.278957528958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green'!$R$56:$R$62</c:f>
              <c:numCache>
                <c:formatCode>General</c:formatCode>
                <c:ptCount val="7"/>
                <c:pt idx="0">
                  <c:v>524.30135135135129</c:v>
                </c:pt>
                <c:pt idx="1">
                  <c:v>522.44290540540533</c:v>
                </c:pt>
                <c:pt idx="2">
                  <c:v>516.88581081081077</c:v>
                </c:pt>
                <c:pt idx="3">
                  <c:v>511.31047297297295</c:v>
                </c:pt>
                <c:pt idx="4">
                  <c:v>522.44290540540533</c:v>
                </c:pt>
                <c:pt idx="5">
                  <c:v>528</c:v>
                </c:pt>
                <c:pt idx="6">
                  <c:v>524.30135135135129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green'!$Q$56:$Q$62</c:f>
              <c:numCache>
                <c:formatCode>General</c:formatCode>
                <c:ptCount val="7"/>
                <c:pt idx="0">
                  <c:v>551.19691119691106</c:v>
                </c:pt>
                <c:pt idx="1">
                  <c:v>525.17065637065639</c:v>
                </c:pt>
                <c:pt idx="2">
                  <c:v>505.59907335907337</c:v>
                </c:pt>
                <c:pt idx="3">
                  <c:v>479.62471042471043</c:v>
                </c:pt>
                <c:pt idx="4">
                  <c:v>525.17065637065639</c:v>
                </c:pt>
                <c:pt idx="5">
                  <c:v>551.19691119691106</c:v>
                </c:pt>
                <c:pt idx="6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00960"/>
        <c:axId val="173150208"/>
      </c:barChart>
      <c:catAx>
        <c:axId val="17300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150208"/>
        <c:crosses val="autoZero"/>
        <c:auto val="1"/>
        <c:lblAlgn val="ctr"/>
        <c:lblOffset val="100"/>
        <c:noMultiLvlLbl val="0"/>
      </c:catAx>
      <c:valAx>
        <c:axId val="17315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000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intermediate vs green'!$S$48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green'!$S$56:$S$62</c:f>
              <c:numCache>
                <c:formatCode>General</c:formatCode>
                <c:ptCount val="7"/>
                <c:pt idx="0">
                  <c:v>6128</c:v>
                </c:pt>
                <c:pt idx="1">
                  <c:v>6128.0000000000109</c:v>
                </c:pt>
                <c:pt idx="2">
                  <c:v>6128.0000000000055</c:v>
                </c:pt>
                <c:pt idx="3">
                  <c:v>6128.0000000000127</c:v>
                </c:pt>
                <c:pt idx="4">
                  <c:v>6128.0000000000146</c:v>
                </c:pt>
                <c:pt idx="5">
                  <c:v>6128.0000000000073</c:v>
                </c:pt>
                <c:pt idx="6">
                  <c:v>6128.0000000000055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green'!$M$56:$M$62</c:f>
              <c:numCache>
                <c:formatCode>General</c:formatCode>
                <c:ptCount val="7"/>
                <c:pt idx="0">
                  <c:v>5089.2924710424713</c:v>
                </c:pt>
                <c:pt idx="1">
                  <c:v>6123.9999999999964</c:v>
                </c:pt>
                <c:pt idx="2">
                  <c:v>4714.7242277992282</c:v>
                </c:pt>
                <c:pt idx="3">
                  <c:v>4500.6852316602317</c:v>
                </c:pt>
                <c:pt idx="4">
                  <c:v>4928.7632239382237</c:v>
                </c:pt>
                <c:pt idx="5">
                  <c:v>5089.2924710424713</c:v>
                </c:pt>
                <c:pt idx="6">
                  <c:v>5089.2924710424713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green'!$N$56:$N$62</c:f>
              <c:numCache>
                <c:formatCode>General</c:formatCode>
                <c:ptCount val="7"/>
                <c:pt idx="0">
                  <c:v>9579.5770557528922</c:v>
                </c:pt>
                <c:pt idx="1">
                  <c:v>9216.0073167145929</c:v>
                </c:pt>
                <c:pt idx="2">
                  <c:v>11503.999999999985</c:v>
                </c:pt>
                <c:pt idx="3">
                  <c:v>8583.8724051737081</c:v>
                </c:pt>
                <c:pt idx="4">
                  <c:v>9293.3254826254815</c:v>
                </c:pt>
                <c:pt idx="5">
                  <c:v>9575.8784071042355</c:v>
                </c:pt>
                <c:pt idx="6">
                  <c:v>9489.5718146718136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green'!$O$56:$O$62</c:f>
              <c:numCache>
                <c:formatCode>General</c:formatCode>
                <c:ptCount val="7"/>
                <c:pt idx="0">
                  <c:v>8833.0024131274149</c:v>
                </c:pt>
                <c:pt idx="1">
                  <c:v>8366.3772197332746</c:v>
                </c:pt>
                <c:pt idx="2">
                  <c:v>7851.835183397684</c:v>
                </c:pt>
                <c:pt idx="3">
                  <c:v>11210.000000000022</c:v>
                </c:pt>
                <c:pt idx="4">
                  <c:v>8411.94689166022</c:v>
                </c:pt>
                <c:pt idx="5">
                  <c:v>8833.0024131274149</c:v>
                </c:pt>
                <c:pt idx="6">
                  <c:v>8802.2045654053982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green'!$P$56:$P$62</c:f>
              <c:numCache>
                <c:formatCode>General</c:formatCode>
                <c:ptCount val="7"/>
                <c:pt idx="0">
                  <c:v>2324.278957528958</c:v>
                </c:pt>
                <c:pt idx="1">
                  <c:v>2147.6510617760619</c:v>
                </c:pt>
                <c:pt idx="2">
                  <c:v>1869.0918646332148</c:v>
                </c:pt>
                <c:pt idx="3">
                  <c:v>1676.64333976834</c:v>
                </c:pt>
                <c:pt idx="4">
                  <c:v>3219.9999999999982</c:v>
                </c:pt>
                <c:pt idx="5">
                  <c:v>2324.278957528958</c:v>
                </c:pt>
                <c:pt idx="6">
                  <c:v>2324.278957528958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green'!$R$56:$R$62</c:f>
              <c:numCache>
                <c:formatCode>General</c:formatCode>
                <c:ptCount val="7"/>
                <c:pt idx="0">
                  <c:v>524.30135135135129</c:v>
                </c:pt>
                <c:pt idx="1">
                  <c:v>522.44290540540533</c:v>
                </c:pt>
                <c:pt idx="2">
                  <c:v>516.88581081081077</c:v>
                </c:pt>
                <c:pt idx="3">
                  <c:v>511.31047297297295</c:v>
                </c:pt>
                <c:pt idx="4">
                  <c:v>522.44290540540533</c:v>
                </c:pt>
                <c:pt idx="5">
                  <c:v>528</c:v>
                </c:pt>
                <c:pt idx="6">
                  <c:v>524.30135135135129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green'!$Q$56:$Q$62</c:f>
              <c:numCache>
                <c:formatCode>General</c:formatCode>
                <c:ptCount val="7"/>
                <c:pt idx="0">
                  <c:v>551.19691119691106</c:v>
                </c:pt>
                <c:pt idx="1">
                  <c:v>525.17065637065639</c:v>
                </c:pt>
                <c:pt idx="2">
                  <c:v>505.59907335907337</c:v>
                </c:pt>
                <c:pt idx="3">
                  <c:v>479.62471042471043</c:v>
                </c:pt>
                <c:pt idx="4">
                  <c:v>525.17065637065639</c:v>
                </c:pt>
                <c:pt idx="5">
                  <c:v>551.19691119691106</c:v>
                </c:pt>
                <c:pt idx="6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183744"/>
        <c:axId val="173185280"/>
      </c:barChart>
      <c:catAx>
        <c:axId val="17318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185280"/>
        <c:crosses val="autoZero"/>
        <c:auto val="1"/>
        <c:lblAlgn val="ctr"/>
        <c:lblOffset val="100"/>
        <c:noMultiLvlLbl val="0"/>
      </c:catAx>
      <c:valAx>
        <c:axId val="1731852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3183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intermediate vs green'!$AK$48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green'!$AK$56:$AK$62</c:f>
              <c:numCache>
                <c:formatCode>General</c:formatCode>
                <c:ptCount val="7"/>
                <c:pt idx="0">
                  <c:v>3359.8510437095911</c:v>
                </c:pt>
                <c:pt idx="1">
                  <c:v>3359.8510437096033</c:v>
                </c:pt>
                <c:pt idx="2">
                  <c:v>3359.8510437096006</c:v>
                </c:pt>
                <c:pt idx="3">
                  <c:v>3359.8510437096074</c:v>
                </c:pt>
                <c:pt idx="4">
                  <c:v>3359.8510437096056</c:v>
                </c:pt>
                <c:pt idx="5">
                  <c:v>3359.8510437096011</c:v>
                </c:pt>
                <c:pt idx="6">
                  <c:v>3359.8510437095997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green'!$AG$56:$AG$62</c:f>
              <c:numCache>
                <c:formatCode>General</c:formatCode>
                <c:ptCount val="7"/>
                <c:pt idx="0">
                  <c:v>2651.6657335907339</c:v>
                </c:pt>
                <c:pt idx="1">
                  <c:v>3368.2000000000003</c:v>
                </c:pt>
                <c:pt idx="2">
                  <c:v>2491.1364864864868</c:v>
                </c:pt>
                <c:pt idx="3">
                  <c:v>2384.1169884169885</c:v>
                </c:pt>
                <c:pt idx="4">
                  <c:v>2598.1559845559846</c:v>
                </c:pt>
                <c:pt idx="5">
                  <c:v>2651.6657335907339</c:v>
                </c:pt>
                <c:pt idx="6">
                  <c:v>2651.6657335907339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green'!$AI$56:$AI$62</c:f>
              <c:numCache>
                <c:formatCode>General</c:formatCode>
                <c:ptCount val="7"/>
                <c:pt idx="0">
                  <c:v>4990.0938223938219</c:v>
                </c:pt>
                <c:pt idx="1">
                  <c:v>4814.6524904597682</c:v>
                </c:pt>
                <c:pt idx="2">
                  <c:v>6327.2000000000007</c:v>
                </c:pt>
                <c:pt idx="3">
                  <c:v>4499.4779922779917</c:v>
                </c:pt>
                <c:pt idx="4">
                  <c:v>4891.9706563706559</c:v>
                </c:pt>
                <c:pt idx="5">
                  <c:v>4990.0938223938219</c:v>
                </c:pt>
                <c:pt idx="6">
                  <c:v>4990.0938223938219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green'!$AM$56:$AM$62</c:f>
              <c:numCache>
                <c:formatCode>General</c:formatCode>
                <c:ptCount val="7"/>
                <c:pt idx="0">
                  <c:v>4696.8347007722014</c:v>
                </c:pt>
                <c:pt idx="1">
                  <c:v>4510.5430015865559</c:v>
                </c:pt>
                <c:pt idx="2">
                  <c:v>4276.33445945946</c:v>
                </c:pt>
                <c:pt idx="3">
                  <c:v>6165</c:v>
                </c:pt>
                <c:pt idx="4">
                  <c:v>4556.1126735135012</c:v>
                </c:pt>
                <c:pt idx="5">
                  <c:v>4696.8347007722014</c:v>
                </c:pt>
                <c:pt idx="6">
                  <c:v>4696.8347007722014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green'!$AC$56:$AC$62</c:f>
              <c:numCache>
                <c:formatCode>General</c:formatCode>
                <c:ptCount val="7"/>
                <c:pt idx="0">
                  <c:v>1279.8914092664095</c:v>
                </c:pt>
                <c:pt idx="1">
                  <c:v>1221.015444015444</c:v>
                </c:pt>
                <c:pt idx="2">
                  <c:v>1060.2081773745274</c:v>
                </c:pt>
                <c:pt idx="3">
                  <c:v>985.51158301158307</c:v>
                </c:pt>
                <c:pt idx="4">
                  <c:v>1710.95</c:v>
                </c:pt>
                <c:pt idx="5">
                  <c:v>1279.8914092664095</c:v>
                </c:pt>
                <c:pt idx="6">
                  <c:v>1279.8914092664095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green'!$AA$56:$AA$62</c:f>
              <c:numCache>
                <c:formatCode>General</c:formatCode>
                <c:ptCount val="7"/>
                <c:pt idx="0">
                  <c:v>264</c:v>
                </c:pt>
                <c:pt idx="1">
                  <c:v>264</c:v>
                </c:pt>
                <c:pt idx="2">
                  <c:v>262.15979729729725</c:v>
                </c:pt>
                <c:pt idx="3">
                  <c:v>260.30135135135134</c:v>
                </c:pt>
                <c:pt idx="4">
                  <c:v>264</c:v>
                </c:pt>
                <c:pt idx="5">
                  <c:v>264</c:v>
                </c:pt>
                <c:pt idx="6">
                  <c:v>264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green'!$AE$56:$AE$62</c:f>
              <c:numCache>
                <c:formatCode>General</c:formatCode>
                <c:ptCount val="7"/>
                <c:pt idx="0">
                  <c:v>288.61158301158298</c:v>
                </c:pt>
                <c:pt idx="1">
                  <c:v>275.59845559845559</c:v>
                </c:pt>
                <c:pt idx="2">
                  <c:v>269.04000000000002</c:v>
                </c:pt>
                <c:pt idx="3">
                  <c:v>256.07876447876447</c:v>
                </c:pt>
                <c:pt idx="4">
                  <c:v>275.59845559845559</c:v>
                </c:pt>
                <c:pt idx="5">
                  <c:v>288.61158301158298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intermediate vs green'!$K$48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intermediate vs green'!$K$56:$K$62</c:f>
              <c:numCache>
                <c:formatCode>General</c:formatCode>
                <c:ptCount val="7"/>
                <c:pt idx="0">
                  <c:v>3642</c:v>
                </c:pt>
                <c:pt idx="1">
                  <c:v>3360</c:v>
                </c:pt>
                <c:pt idx="2">
                  <c:v>3128</c:v>
                </c:pt>
                <c:pt idx="3">
                  <c:v>3263</c:v>
                </c:pt>
                <c:pt idx="4">
                  <c:v>3517</c:v>
                </c:pt>
                <c:pt idx="5">
                  <c:v>3642</c:v>
                </c:pt>
                <c:pt idx="6">
                  <c:v>3595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256704"/>
        <c:axId val="173258240"/>
      </c:barChart>
      <c:catAx>
        <c:axId val="17325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258240"/>
        <c:crosses val="autoZero"/>
        <c:auto val="1"/>
        <c:lblAlgn val="ctr"/>
        <c:lblOffset val="100"/>
        <c:noMultiLvlLbl val="0"/>
      </c:catAx>
      <c:valAx>
        <c:axId val="173258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2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intermediate vs green'!$AJ$48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green'!$AJ$49:$AJ$55</c:f>
              <c:numCache>
                <c:formatCode>General</c:formatCode>
                <c:ptCount val="7"/>
                <c:pt idx="0">
                  <c:v>2768.1489562904062</c:v>
                </c:pt>
                <c:pt idx="1">
                  <c:v>2768.1489562904089</c:v>
                </c:pt>
                <c:pt idx="2">
                  <c:v>2768.1489562904085</c:v>
                </c:pt>
                <c:pt idx="3">
                  <c:v>2768.1489562904062</c:v>
                </c:pt>
                <c:pt idx="4">
                  <c:v>2768.148956290408</c:v>
                </c:pt>
                <c:pt idx="5">
                  <c:v>2768.1489562904062</c:v>
                </c:pt>
                <c:pt idx="6">
                  <c:v>2768.1489562904076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green'!$AF$49:$AF$55</c:f>
              <c:numCache>
                <c:formatCode>General</c:formatCode>
                <c:ptCount val="7"/>
                <c:pt idx="0">
                  <c:v>2118.8314954682778</c:v>
                </c:pt>
                <c:pt idx="1">
                  <c:v>2755.8000000000056</c:v>
                </c:pt>
                <c:pt idx="2">
                  <c:v>1867.6104984894259</c:v>
                </c:pt>
                <c:pt idx="3">
                  <c:v>1742</c:v>
                </c:pt>
                <c:pt idx="4">
                  <c:v>2035.091163141994</c:v>
                </c:pt>
                <c:pt idx="5">
                  <c:v>2118.8314954682778</c:v>
                </c:pt>
                <c:pt idx="6">
                  <c:v>2118.8314954682778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green'!$AH$49:$AH$55</c:f>
              <c:numCache>
                <c:formatCode>General</c:formatCode>
                <c:ptCount val="7"/>
                <c:pt idx="0">
                  <c:v>4013.0123867069483</c:v>
                </c:pt>
                <c:pt idx="1">
                  <c:v>3859.4540785498489</c:v>
                </c:pt>
                <c:pt idx="2">
                  <c:v>5176.7999999999674</c:v>
                </c:pt>
                <c:pt idx="3">
                  <c:v>3322</c:v>
                </c:pt>
                <c:pt idx="4">
                  <c:v>3859.4540785498489</c:v>
                </c:pt>
                <c:pt idx="5">
                  <c:v>4013.0123867069483</c:v>
                </c:pt>
                <c:pt idx="6">
                  <c:v>4013.0123867069483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green'!$AL$49:$AL$55</c:f>
              <c:numCache>
                <c:formatCode>General</c:formatCode>
                <c:ptCount val="7"/>
                <c:pt idx="0">
                  <c:v>3301.0957326283988</c:v>
                </c:pt>
                <c:pt idx="1">
                  <c:v>3081.7411253776436</c:v>
                </c:pt>
                <c:pt idx="2">
                  <c:v>2643.0319108761328</c:v>
                </c:pt>
                <c:pt idx="3">
                  <c:v>5044.9999999999827</c:v>
                </c:pt>
                <c:pt idx="4">
                  <c:v>3081.7411253776436</c:v>
                </c:pt>
                <c:pt idx="5">
                  <c:v>3301.0957326283988</c:v>
                </c:pt>
                <c:pt idx="6">
                  <c:v>3301.0957326283988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green'!$AB$49:$AB$55</c:f>
              <c:numCache>
                <c:formatCode>General</c:formatCode>
                <c:ptCount val="7"/>
                <c:pt idx="0">
                  <c:v>693.62197885196383</c:v>
                </c:pt>
                <c:pt idx="1">
                  <c:v>601.48376132930514</c:v>
                </c:pt>
                <c:pt idx="2">
                  <c:v>417.20732628398792</c:v>
                </c:pt>
                <c:pt idx="3">
                  <c:v>279</c:v>
                </c:pt>
                <c:pt idx="4">
                  <c:v>1509.0499999999961</c:v>
                </c:pt>
                <c:pt idx="5">
                  <c:v>693.62197885196383</c:v>
                </c:pt>
                <c:pt idx="6">
                  <c:v>693.62197885196383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green'!$Z$49:$Z$55</c:f>
              <c:numCache>
                <c:formatCode>General</c:formatCode>
                <c:ptCount val="7"/>
                <c:pt idx="0">
                  <c:v>251.08772658610269</c:v>
                </c:pt>
                <c:pt idx="1">
                  <c:v>248.17934290030209</c:v>
                </c:pt>
                <c:pt idx="2">
                  <c:v>242.36257552870089</c:v>
                </c:pt>
                <c:pt idx="3">
                  <c:v>238</c:v>
                </c:pt>
                <c:pt idx="4">
                  <c:v>248.17934290030209</c:v>
                </c:pt>
                <c:pt idx="5">
                  <c:v>264</c:v>
                </c:pt>
                <c:pt idx="6">
                  <c:v>251.08772658610269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green'!$AD$49:$AD$55</c:f>
              <c:numCache>
                <c:formatCode>General</c:formatCode>
                <c:ptCount val="7"/>
                <c:pt idx="0">
                  <c:v>223.82114803625376</c:v>
                </c:pt>
                <c:pt idx="1">
                  <c:v>213.63867069486403</c:v>
                </c:pt>
                <c:pt idx="2">
                  <c:v>193.27371601208458</c:v>
                </c:pt>
                <c:pt idx="3">
                  <c:v>178</c:v>
                </c:pt>
                <c:pt idx="4">
                  <c:v>213.63867069486403</c:v>
                </c:pt>
                <c:pt idx="5">
                  <c:v>223.82114803625376</c:v>
                </c:pt>
                <c:pt idx="6">
                  <c:v>335.70000000000067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353984"/>
        <c:axId val="173359872"/>
      </c:barChart>
      <c:catAx>
        <c:axId val="17335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359872"/>
        <c:crosses val="autoZero"/>
        <c:auto val="1"/>
        <c:lblAlgn val="ctr"/>
        <c:lblOffset val="100"/>
        <c:noMultiLvlLbl val="0"/>
      </c:catAx>
      <c:valAx>
        <c:axId val="173359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35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intermediate vs green'!$AK$48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green'!$AK$49:$AK$55</c:f>
              <c:numCache>
                <c:formatCode>General</c:formatCode>
                <c:ptCount val="7"/>
                <c:pt idx="0">
                  <c:v>3359.8510437096015</c:v>
                </c:pt>
                <c:pt idx="1">
                  <c:v>2768.1489562904062</c:v>
                </c:pt>
                <c:pt idx="2">
                  <c:v>2768.1489562904071</c:v>
                </c:pt>
                <c:pt idx="3">
                  <c:v>2768.148956290413</c:v>
                </c:pt>
                <c:pt idx="4">
                  <c:v>2768.1489562904098</c:v>
                </c:pt>
                <c:pt idx="5">
                  <c:v>3359.8510437096011</c:v>
                </c:pt>
                <c:pt idx="6">
                  <c:v>3312.9317053410164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green'!$AG$49:$AG$55</c:f>
              <c:numCache>
                <c:formatCode>General</c:formatCode>
                <c:ptCount val="7"/>
                <c:pt idx="0">
                  <c:v>2286.3121601208459</c:v>
                </c:pt>
                <c:pt idx="1">
                  <c:v>3368.2000000000003</c:v>
                </c:pt>
                <c:pt idx="2">
                  <c:v>2035.091163141994</c:v>
                </c:pt>
                <c:pt idx="3">
                  <c:v>1825.740332326284</c:v>
                </c:pt>
                <c:pt idx="4">
                  <c:v>2202.5718277945621</c:v>
                </c:pt>
                <c:pt idx="5">
                  <c:v>2286.3121601208459</c:v>
                </c:pt>
                <c:pt idx="6">
                  <c:v>2286.3121601208459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green'!$AI$49:$AI$55</c:f>
              <c:numCache>
                <c:formatCode>General</c:formatCode>
                <c:ptCount val="7"/>
                <c:pt idx="0">
                  <c:v>4320.1290030211476</c:v>
                </c:pt>
                <c:pt idx="1">
                  <c:v>4166.5706948640482</c:v>
                </c:pt>
                <c:pt idx="2">
                  <c:v>6327.2000000000007</c:v>
                </c:pt>
                <c:pt idx="3">
                  <c:v>3475.5583081570994</c:v>
                </c:pt>
                <c:pt idx="4">
                  <c:v>4166.5706948640482</c:v>
                </c:pt>
                <c:pt idx="5">
                  <c:v>4320.1290030211476</c:v>
                </c:pt>
                <c:pt idx="6">
                  <c:v>4320.1290030211476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green'!$AM$49:$AM$55</c:f>
              <c:numCache>
                <c:formatCode>General</c:formatCode>
                <c:ptCount val="7"/>
                <c:pt idx="0">
                  <c:v>3814.5170492447082</c:v>
                </c:pt>
                <c:pt idx="1">
                  <c:v>3520.4503398791539</c:v>
                </c:pt>
                <c:pt idx="2">
                  <c:v>3087.7278134010917</c:v>
                </c:pt>
                <c:pt idx="3">
                  <c:v>6165</c:v>
                </c:pt>
                <c:pt idx="4">
                  <c:v>3584.4292484463831</c:v>
                </c:pt>
                <c:pt idx="5">
                  <c:v>3794.5092697885148</c:v>
                </c:pt>
                <c:pt idx="6">
                  <c:v>3739.8049471299091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green'!$AC$49:$AC$55</c:f>
              <c:numCache>
                <c:formatCode>General</c:formatCode>
                <c:ptCount val="7"/>
                <c:pt idx="0">
                  <c:v>923.96752265861028</c:v>
                </c:pt>
                <c:pt idx="1">
                  <c:v>796.15813817446815</c:v>
                </c:pt>
                <c:pt idx="2">
                  <c:v>647.55287009063443</c:v>
                </c:pt>
                <c:pt idx="3">
                  <c:v>400.28638590862687</c:v>
                </c:pt>
                <c:pt idx="4">
                  <c:v>1710.95</c:v>
                </c:pt>
                <c:pt idx="5">
                  <c:v>923.96752265861028</c:v>
                </c:pt>
                <c:pt idx="6">
                  <c:v>877.89841389728099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green'!$AA$49:$AA$55</c:f>
              <c:numCache>
                <c:formatCode>General</c:formatCode>
                <c:ptCount val="7"/>
                <c:pt idx="0">
                  <c:v>256.90449395770389</c:v>
                </c:pt>
                <c:pt idx="1">
                  <c:v>253.99611027190329</c:v>
                </c:pt>
                <c:pt idx="2">
                  <c:v>248.17934290030209</c:v>
                </c:pt>
                <c:pt idx="3">
                  <c:v>240.9083836858006</c:v>
                </c:pt>
                <c:pt idx="4">
                  <c:v>253.99611027190329</c:v>
                </c:pt>
                <c:pt idx="5">
                  <c:v>264</c:v>
                </c:pt>
                <c:pt idx="6">
                  <c:v>256.90449395770389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green'!$AE$49:$AE$55</c:f>
              <c:numCache>
                <c:formatCode>General</c:formatCode>
                <c:ptCount val="7"/>
                <c:pt idx="0">
                  <c:v>244.18610271903322</c:v>
                </c:pt>
                <c:pt idx="1">
                  <c:v>234.00362537764349</c:v>
                </c:pt>
                <c:pt idx="2">
                  <c:v>213.63867069486403</c:v>
                </c:pt>
                <c:pt idx="3">
                  <c:v>188.18247734138973</c:v>
                </c:pt>
                <c:pt idx="4">
                  <c:v>234.00362537764349</c:v>
                </c:pt>
                <c:pt idx="5">
                  <c:v>244.18610271903322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intermediate vs green'!$K$48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intermediate vs green'!$K$49:$K$55</c:f>
              <c:numCache>
                <c:formatCode>General</c:formatCode>
                <c:ptCount val="7"/>
                <c:pt idx="0">
                  <c:v>2812</c:v>
                </c:pt>
                <c:pt idx="1">
                  <c:v>2972</c:v>
                </c:pt>
                <c:pt idx="2">
                  <c:v>2751</c:v>
                </c:pt>
                <c:pt idx="3">
                  <c:v>3015</c:v>
                </c:pt>
                <c:pt idx="4">
                  <c:v>3158</c:v>
                </c:pt>
                <c:pt idx="5">
                  <c:v>2825</c:v>
                </c:pt>
                <c:pt idx="6">
                  <c:v>2924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676800"/>
        <c:axId val="173686784"/>
      </c:barChart>
      <c:catAx>
        <c:axId val="17367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686784"/>
        <c:crosses val="autoZero"/>
        <c:auto val="1"/>
        <c:lblAlgn val="ctr"/>
        <c:lblOffset val="100"/>
        <c:noMultiLvlLbl val="0"/>
      </c:catAx>
      <c:valAx>
        <c:axId val="17368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676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2x500 intermediate vs green'!$AJ$48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green'!$AJ$56:$AJ$62</c:f>
              <c:numCache>
                <c:formatCode>General</c:formatCode>
                <c:ptCount val="7"/>
                <c:pt idx="0">
                  <c:v>2768.1489562904085</c:v>
                </c:pt>
                <c:pt idx="1">
                  <c:v>2768.1489562904071</c:v>
                </c:pt>
                <c:pt idx="2">
                  <c:v>2768.1489562904048</c:v>
                </c:pt>
                <c:pt idx="3">
                  <c:v>2768.1489562904057</c:v>
                </c:pt>
                <c:pt idx="4">
                  <c:v>2768.1489562904085</c:v>
                </c:pt>
                <c:pt idx="5">
                  <c:v>2768.1489562904067</c:v>
                </c:pt>
                <c:pt idx="6">
                  <c:v>2768.1489562904057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green'!$AF$56:$AF$62</c:f>
              <c:numCache>
                <c:formatCode>General</c:formatCode>
                <c:ptCount val="7"/>
                <c:pt idx="0">
                  <c:v>2437.6267374517374</c:v>
                </c:pt>
                <c:pt idx="1">
                  <c:v>2755.7999999999961</c:v>
                </c:pt>
                <c:pt idx="2">
                  <c:v>2223.5877413127414</c:v>
                </c:pt>
                <c:pt idx="3">
                  <c:v>2116.5682432432432</c:v>
                </c:pt>
                <c:pt idx="4">
                  <c:v>2330.6072393822396</c:v>
                </c:pt>
                <c:pt idx="5">
                  <c:v>2437.6267374517374</c:v>
                </c:pt>
                <c:pt idx="6">
                  <c:v>2437.6267374517374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green'!$AH$56:$AH$62</c:f>
              <c:numCache>
                <c:formatCode>General</c:formatCode>
                <c:ptCount val="7"/>
                <c:pt idx="0">
                  <c:v>4589.4832333590703</c:v>
                </c:pt>
                <c:pt idx="1">
                  <c:v>4401.3548262548256</c:v>
                </c:pt>
                <c:pt idx="2">
                  <c:v>5176.7999999999847</c:v>
                </c:pt>
                <c:pt idx="3">
                  <c:v>4084.3944128957164</c:v>
                </c:pt>
                <c:pt idx="4">
                  <c:v>4401.3548262548256</c:v>
                </c:pt>
                <c:pt idx="5">
                  <c:v>4585.7845847104145</c:v>
                </c:pt>
                <c:pt idx="6">
                  <c:v>4499.4779922779917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green'!$AL$56:$AL$62</c:f>
              <c:numCache>
                <c:formatCode>General</c:formatCode>
                <c:ptCount val="7"/>
                <c:pt idx="0">
                  <c:v>4136.1677123552126</c:v>
                </c:pt>
                <c:pt idx="1">
                  <c:v>3855.8342181467183</c:v>
                </c:pt>
                <c:pt idx="2">
                  <c:v>3575.5007239382239</c:v>
                </c:pt>
                <c:pt idx="3">
                  <c:v>5045.0000000000227</c:v>
                </c:pt>
                <c:pt idx="4">
                  <c:v>3855.8342181467183</c:v>
                </c:pt>
                <c:pt idx="5">
                  <c:v>4136.1677123552126</c:v>
                </c:pt>
                <c:pt idx="6">
                  <c:v>4105.3698646331968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green'!$AB$56:$AB$62</c:f>
              <c:numCache>
                <c:formatCode>General</c:formatCode>
                <c:ptCount val="7"/>
                <c:pt idx="0">
                  <c:v>1044.3875482625483</c:v>
                </c:pt>
                <c:pt idx="1">
                  <c:v>926.63561776061783</c:v>
                </c:pt>
                <c:pt idx="2">
                  <c:v>808.88368725868736</c:v>
                </c:pt>
                <c:pt idx="3">
                  <c:v>691.13175675675677</c:v>
                </c:pt>
                <c:pt idx="4">
                  <c:v>1509.0499999999981</c:v>
                </c:pt>
                <c:pt idx="5">
                  <c:v>1044.3875482625483</c:v>
                </c:pt>
                <c:pt idx="6">
                  <c:v>1044.3875482625483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green'!$Z$56:$Z$62</c:f>
              <c:numCache>
                <c:formatCode>General</c:formatCode>
                <c:ptCount val="7"/>
                <c:pt idx="0">
                  <c:v>260.30135135135134</c:v>
                </c:pt>
                <c:pt idx="1">
                  <c:v>258.44290540540538</c:v>
                </c:pt>
                <c:pt idx="2">
                  <c:v>254.72601351351349</c:v>
                </c:pt>
                <c:pt idx="3">
                  <c:v>251.0091216216216</c:v>
                </c:pt>
                <c:pt idx="4">
                  <c:v>258.44290540540538</c:v>
                </c:pt>
                <c:pt idx="5">
                  <c:v>264</c:v>
                </c:pt>
                <c:pt idx="6">
                  <c:v>260.30135135135134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green'!$AD$56:$AD$62</c:f>
              <c:numCache>
                <c:formatCode>General</c:formatCode>
                <c:ptCount val="7"/>
                <c:pt idx="0">
                  <c:v>262.58532818532814</c:v>
                </c:pt>
                <c:pt idx="1">
                  <c:v>249.57220077220074</c:v>
                </c:pt>
                <c:pt idx="2">
                  <c:v>236.55907335907335</c:v>
                </c:pt>
                <c:pt idx="3">
                  <c:v>223.54594594594593</c:v>
                </c:pt>
                <c:pt idx="4">
                  <c:v>249.57220077220074</c:v>
                </c:pt>
                <c:pt idx="5">
                  <c:v>262.58532818532814</c:v>
                </c:pt>
                <c:pt idx="6">
                  <c:v>335.7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409408"/>
        <c:axId val="173410944"/>
      </c:barChart>
      <c:catAx>
        <c:axId val="17340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10944"/>
        <c:crosses val="autoZero"/>
        <c:auto val="1"/>
        <c:lblAlgn val="ctr"/>
        <c:lblOffset val="100"/>
        <c:noMultiLvlLbl val="0"/>
      </c:catAx>
      <c:valAx>
        <c:axId val="173410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409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intermediate vs green'!$AJ$48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green'!$AJ$49:$AJ$55</c:f>
              <c:numCache>
                <c:formatCode>General</c:formatCode>
                <c:ptCount val="7"/>
                <c:pt idx="0">
                  <c:v>2768.1489562904062</c:v>
                </c:pt>
                <c:pt idx="1">
                  <c:v>2768.1489562904089</c:v>
                </c:pt>
                <c:pt idx="2">
                  <c:v>2768.1489562904085</c:v>
                </c:pt>
                <c:pt idx="3">
                  <c:v>2768.1489562904062</c:v>
                </c:pt>
                <c:pt idx="4">
                  <c:v>2768.148956290408</c:v>
                </c:pt>
                <c:pt idx="5">
                  <c:v>2768.1489562904062</c:v>
                </c:pt>
                <c:pt idx="6">
                  <c:v>2768.1489562904076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green'!$AF$49:$AF$55</c:f>
              <c:numCache>
                <c:formatCode>General</c:formatCode>
                <c:ptCount val="7"/>
                <c:pt idx="0">
                  <c:v>2118.8314954682778</c:v>
                </c:pt>
                <c:pt idx="1">
                  <c:v>2755.8000000000056</c:v>
                </c:pt>
                <c:pt idx="2">
                  <c:v>1867.6104984894259</c:v>
                </c:pt>
                <c:pt idx="3">
                  <c:v>1742</c:v>
                </c:pt>
                <c:pt idx="4">
                  <c:v>2035.091163141994</c:v>
                </c:pt>
                <c:pt idx="5">
                  <c:v>2118.8314954682778</c:v>
                </c:pt>
                <c:pt idx="6">
                  <c:v>2118.8314954682778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green'!$AH$49:$AH$55</c:f>
              <c:numCache>
                <c:formatCode>General</c:formatCode>
                <c:ptCount val="7"/>
                <c:pt idx="0">
                  <c:v>4013.0123867069483</c:v>
                </c:pt>
                <c:pt idx="1">
                  <c:v>3859.4540785498489</c:v>
                </c:pt>
                <c:pt idx="2">
                  <c:v>5176.7999999999674</c:v>
                </c:pt>
                <c:pt idx="3">
                  <c:v>3322</c:v>
                </c:pt>
                <c:pt idx="4">
                  <c:v>3859.4540785498489</c:v>
                </c:pt>
                <c:pt idx="5">
                  <c:v>4013.0123867069483</c:v>
                </c:pt>
                <c:pt idx="6">
                  <c:v>4013.0123867069483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green'!$AL$49:$AL$55</c:f>
              <c:numCache>
                <c:formatCode>General</c:formatCode>
                <c:ptCount val="7"/>
                <c:pt idx="0">
                  <c:v>3301.0957326283988</c:v>
                </c:pt>
                <c:pt idx="1">
                  <c:v>3081.7411253776436</c:v>
                </c:pt>
                <c:pt idx="2">
                  <c:v>2643.0319108761328</c:v>
                </c:pt>
                <c:pt idx="3">
                  <c:v>5044.9999999999827</c:v>
                </c:pt>
                <c:pt idx="4">
                  <c:v>3081.7411253776436</c:v>
                </c:pt>
                <c:pt idx="5">
                  <c:v>3301.0957326283988</c:v>
                </c:pt>
                <c:pt idx="6">
                  <c:v>3301.0957326283988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green'!$AB$49:$AB$55</c:f>
              <c:numCache>
                <c:formatCode>General</c:formatCode>
                <c:ptCount val="7"/>
                <c:pt idx="0">
                  <c:v>693.62197885196383</c:v>
                </c:pt>
                <c:pt idx="1">
                  <c:v>601.48376132930514</c:v>
                </c:pt>
                <c:pt idx="2">
                  <c:v>417.20732628398792</c:v>
                </c:pt>
                <c:pt idx="3">
                  <c:v>279</c:v>
                </c:pt>
                <c:pt idx="4">
                  <c:v>1509.0499999999961</c:v>
                </c:pt>
                <c:pt idx="5">
                  <c:v>693.62197885196383</c:v>
                </c:pt>
                <c:pt idx="6">
                  <c:v>693.62197885196383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green'!$Z$49:$Z$55</c:f>
              <c:numCache>
                <c:formatCode>General</c:formatCode>
                <c:ptCount val="7"/>
                <c:pt idx="0">
                  <c:v>251.08772658610269</c:v>
                </c:pt>
                <c:pt idx="1">
                  <c:v>248.17934290030209</c:v>
                </c:pt>
                <c:pt idx="2">
                  <c:v>242.36257552870089</c:v>
                </c:pt>
                <c:pt idx="3">
                  <c:v>238</c:v>
                </c:pt>
                <c:pt idx="4">
                  <c:v>248.17934290030209</c:v>
                </c:pt>
                <c:pt idx="5">
                  <c:v>264</c:v>
                </c:pt>
                <c:pt idx="6">
                  <c:v>251.08772658610269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green'!$AD$49:$AD$55</c:f>
              <c:numCache>
                <c:formatCode>General</c:formatCode>
                <c:ptCount val="7"/>
                <c:pt idx="0">
                  <c:v>223.82114803625376</c:v>
                </c:pt>
                <c:pt idx="1">
                  <c:v>213.63867069486403</c:v>
                </c:pt>
                <c:pt idx="2">
                  <c:v>193.27371601208458</c:v>
                </c:pt>
                <c:pt idx="3">
                  <c:v>178</c:v>
                </c:pt>
                <c:pt idx="4">
                  <c:v>213.63867069486403</c:v>
                </c:pt>
                <c:pt idx="5">
                  <c:v>223.82114803625376</c:v>
                </c:pt>
                <c:pt idx="6">
                  <c:v>335.70000000000067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448576"/>
        <c:axId val="173458560"/>
      </c:barChart>
      <c:catAx>
        <c:axId val="17344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58560"/>
        <c:crosses val="autoZero"/>
        <c:auto val="1"/>
        <c:lblAlgn val="ctr"/>
        <c:lblOffset val="100"/>
        <c:noMultiLvlLbl val="0"/>
      </c:catAx>
      <c:valAx>
        <c:axId val="1734585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344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intermediate vs green'!$AJ$48</c:f>
              <c:strCache>
                <c:ptCount val="1"/>
                <c:pt idx="0">
                  <c:v>NP1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green'!$AJ$56:$AJ$62</c:f>
              <c:numCache>
                <c:formatCode>General</c:formatCode>
                <c:ptCount val="7"/>
                <c:pt idx="0">
                  <c:v>2768.1489562904085</c:v>
                </c:pt>
                <c:pt idx="1">
                  <c:v>2768.1489562904071</c:v>
                </c:pt>
                <c:pt idx="2">
                  <c:v>2768.1489562904048</c:v>
                </c:pt>
                <c:pt idx="3">
                  <c:v>2768.1489562904057</c:v>
                </c:pt>
                <c:pt idx="4">
                  <c:v>2768.1489562904085</c:v>
                </c:pt>
                <c:pt idx="5">
                  <c:v>2768.1489562904067</c:v>
                </c:pt>
                <c:pt idx="6">
                  <c:v>2768.1489562904057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green'!$AF$48</c:f>
              <c:strCache>
                <c:ptCount val="1"/>
                <c:pt idx="0">
                  <c:v>NO&gt;NO1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green'!$AF$56:$AF$62</c:f>
              <c:numCache>
                <c:formatCode>General</c:formatCode>
                <c:ptCount val="7"/>
                <c:pt idx="0">
                  <c:v>2437.6267374517374</c:v>
                </c:pt>
                <c:pt idx="1">
                  <c:v>2755.7999999999961</c:v>
                </c:pt>
                <c:pt idx="2">
                  <c:v>2223.5877413127414</c:v>
                </c:pt>
                <c:pt idx="3">
                  <c:v>2116.5682432432432</c:v>
                </c:pt>
                <c:pt idx="4">
                  <c:v>2330.6072393822396</c:v>
                </c:pt>
                <c:pt idx="5">
                  <c:v>2437.6267374517374</c:v>
                </c:pt>
                <c:pt idx="6">
                  <c:v>2437.6267374517374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green'!$AH$48</c:f>
              <c:strCache>
                <c:ptCount val="1"/>
                <c:pt idx="0">
                  <c:v>RUm&gt;RUm1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green'!$AH$56:$AH$62</c:f>
              <c:numCache>
                <c:formatCode>General</c:formatCode>
                <c:ptCount val="7"/>
                <c:pt idx="0">
                  <c:v>4589.4832333590703</c:v>
                </c:pt>
                <c:pt idx="1">
                  <c:v>4401.3548262548256</c:v>
                </c:pt>
                <c:pt idx="2">
                  <c:v>5176.7999999999847</c:v>
                </c:pt>
                <c:pt idx="3">
                  <c:v>4084.3944128957164</c:v>
                </c:pt>
                <c:pt idx="4">
                  <c:v>4401.3548262548256</c:v>
                </c:pt>
                <c:pt idx="5">
                  <c:v>4585.7845847104145</c:v>
                </c:pt>
                <c:pt idx="6">
                  <c:v>4499.4779922779917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green'!$AL$48</c:f>
              <c:strCache>
                <c:ptCount val="1"/>
                <c:pt idx="0">
                  <c:v>LNG1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green'!$AL$56:$AL$62</c:f>
              <c:numCache>
                <c:formatCode>General</c:formatCode>
                <c:ptCount val="7"/>
                <c:pt idx="0">
                  <c:v>4136.1677123552126</c:v>
                </c:pt>
                <c:pt idx="1">
                  <c:v>3855.8342181467183</c:v>
                </c:pt>
                <c:pt idx="2">
                  <c:v>3575.5007239382239</c:v>
                </c:pt>
                <c:pt idx="3">
                  <c:v>5045.0000000000227</c:v>
                </c:pt>
                <c:pt idx="4">
                  <c:v>3855.8342181467183</c:v>
                </c:pt>
                <c:pt idx="5">
                  <c:v>4136.1677123552126</c:v>
                </c:pt>
                <c:pt idx="6">
                  <c:v>4105.3698646331968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green'!$AB$48</c:f>
              <c:strCache>
                <c:ptCount val="1"/>
                <c:pt idx="0">
                  <c:v>DZ&gt;DZ1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green'!$AB$56:$AB$62</c:f>
              <c:numCache>
                <c:formatCode>General</c:formatCode>
                <c:ptCount val="7"/>
                <c:pt idx="0">
                  <c:v>1044.3875482625483</c:v>
                </c:pt>
                <c:pt idx="1">
                  <c:v>926.63561776061783</c:v>
                </c:pt>
                <c:pt idx="2">
                  <c:v>808.88368725868736</c:v>
                </c:pt>
                <c:pt idx="3">
                  <c:v>691.13175675675677</c:v>
                </c:pt>
                <c:pt idx="4">
                  <c:v>1509.0499999999981</c:v>
                </c:pt>
                <c:pt idx="5">
                  <c:v>1044.3875482625483</c:v>
                </c:pt>
                <c:pt idx="6">
                  <c:v>1044.3875482625483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green'!$Z$48</c:f>
              <c:strCache>
                <c:ptCount val="1"/>
                <c:pt idx="0">
                  <c:v>AZ&gt;AZ1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green'!$Z$56:$Z$62</c:f>
              <c:numCache>
                <c:formatCode>General</c:formatCode>
                <c:ptCount val="7"/>
                <c:pt idx="0">
                  <c:v>260.30135135135134</c:v>
                </c:pt>
                <c:pt idx="1">
                  <c:v>258.44290540540538</c:v>
                </c:pt>
                <c:pt idx="2">
                  <c:v>254.72601351351349</c:v>
                </c:pt>
                <c:pt idx="3">
                  <c:v>251.0091216216216</c:v>
                </c:pt>
                <c:pt idx="4">
                  <c:v>258.44290540540538</c:v>
                </c:pt>
                <c:pt idx="5">
                  <c:v>264</c:v>
                </c:pt>
                <c:pt idx="6">
                  <c:v>260.30135135135134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green'!$AD$48</c:f>
              <c:strCache>
                <c:ptCount val="1"/>
                <c:pt idx="0">
                  <c:v>LY&gt;LY1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green'!$AD$56:$AD$62</c:f>
              <c:numCache>
                <c:formatCode>General</c:formatCode>
                <c:ptCount val="7"/>
                <c:pt idx="0">
                  <c:v>262.58532818532814</c:v>
                </c:pt>
                <c:pt idx="1">
                  <c:v>249.57220077220074</c:v>
                </c:pt>
                <c:pt idx="2">
                  <c:v>236.55907335907335</c:v>
                </c:pt>
                <c:pt idx="3">
                  <c:v>223.54594594594593</c:v>
                </c:pt>
                <c:pt idx="4">
                  <c:v>249.57220077220074</c:v>
                </c:pt>
                <c:pt idx="5">
                  <c:v>262.58532818532814</c:v>
                </c:pt>
                <c:pt idx="6">
                  <c:v>335.7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635072"/>
        <c:axId val="173636608"/>
      </c:barChart>
      <c:catAx>
        <c:axId val="17363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636608"/>
        <c:crosses val="autoZero"/>
        <c:auto val="1"/>
        <c:lblAlgn val="ctr"/>
        <c:lblOffset val="100"/>
        <c:noMultiLvlLbl val="0"/>
      </c:catAx>
      <c:valAx>
        <c:axId val="1736366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3635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3885373286435772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green'!$AU$49:$AU$55</c:f>
              <c:numCache>
                <c:formatCode>General</c:formatCode>
                <c:ptCount val="7"/>
                <c:pt idx="0">
                  <c:v>1.0634741124471716</c:v>
                </c:pt>
                <c:pt idx="1">
                  <c:v>1.0782547530722872</c:v>
                </c:pt>
                <c:pt idx="2">
                  <c:v>1.0892573161753465</c:v>
                </c:pt>
                <c:pt idx="3">
                  <c:v>1.0999107939339854</c:v>
                </c:pt>
                <c:pt idx="4">
                  <c:v>1.083248083277969</c:v>
                </c:pt>
                <c:pt idx="5">
                  <c:v>1.0634741124471716</c:v>
                </c:pt>
                <c:pt idx="6">
                  <c:v>1.0671950795671792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vs. 2x1000 green'!$AU$56:$AU$62</c:f>
              <c:numCache>
                <c:formatCode>General</c:formatCode>
                <c:ptCount val="7"/>
                <c:pt idx="0">
                  <c:v>1.1269482248943434</c:v>
                </c:pt>
                <c:pt idx="1">
                  <c:v>1.1499187634009351</c:v>
                </c:pt>
                <c:pt idx="2">
                  <c:v>1.1606631691156233</c:v>
                </c:pt>
                <c:pt idx="3">
                  <c:v>1.0999107939339876</c:v>
                </c:pt>
                <c:pt idx="4">
                  <c:v>1.1447264814152069</c:v>
                </c:pt>
                <c:pt idx="5">
                  <c:v>1.1269482248943434</c:v>
                </c:pt>
                <c:pt idx="6">
                  <c:v>1.1269482248943434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89440"/>
        <c:axId val="168990976"/>
      </c:barChart>
      <c:catAx>
        <c:axId val="168989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990976"/>
        <c:crosses val="autoZero"/>
        <c:auto val="1"/>
        <c:lblAlgn val="ctr"/>
        <c:lblOffset val="100"/>
        <c:noMultiLvlLbl val="0"/>
      </c:catAx>
      <c:valAx>
        <c:axId val="16899097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LNG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8989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intermediate vs green'!$AK$48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green'!$AK$56:$AK$62</c:f>
              <c:numCache>
                <c:formatCode>General</c:formatCode>
                <c:ptCount val="7"/>
                <c:pt idx="0">
                  <c:v>3359.8510437095911</c:v>
                </c:pt>
                <c:pt idx="1">
                  <c:v>3359.8510437096033</c:v>
                </c:pt>
                <c:pt idx="2">
                  <c:v>3359.8510437096006</c:v>
                </c:pt>
                <c:pt idx="3">
                  <c:v>3359.8510437096074</c:v>
                </c:pt>
                <c:pt idx="4">
                  <c:v>3359.8510437096056</c:v>
                </c:pt>
                <c:pt idx="5">
                  <c:v>3359.8510437096011</c:v>
                </c:pt>
                <c:pt idx="6">
                  <c:v>3359.8510437095997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green'!$AG$56:$AG$62</c:f>
              <c:numCache>
                <c:formatCode>General</c:formatCode>
                <c:ptCount val="7"/>
                <c:pt idx="0">
                  <c:v>2651.6657335907339</c:v>
                </c:pt>
                <c:pt idx="1">
                  <c:v>3368.2000000000003</c:v>
                </c:pt>
                <c:pt idx="2">
                  <c:v>2491.1364864864868</c:v>
                </c:pt>
                <c:pt idx="3">
                  <c:v>2384.1169884169885</c:v>
                </c:pt>
                <c:pt idx="4">
                  <c:v>2598.1559845559846</c:v>
                </c:pt>
                <c:pt idx="5">
                  <c:v>2651.6657335907339</c:v>
                </c:pt>
                <c:pt idx="6">
                  <c:v>2651.6657335907339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green'!$AI$56:$AI$62</c:f>
              <c:numCache>
                <c:formatCode>General</c:formatCode>
                <c:ptCount val="7"/>
                <c:pt idx="0">
                  <c:v>4990.0938223938219</c:v>
                </c:pt>
                <c:pt idx="1">
                  <c:v>4814.6524904597682</c:v>
                </c:pt>
                <c:pt idx="2">
                  <c:v>6327.2000000000007</c:v>
                </c:pt>
                <c:pt idx="3">
                  <c:v>4499.4779922779917</c:v>
                </c:pt>
                <c:pt idx="4">
                  <c:v>4891.9706563706559</c:v>
                </c:pt>
                <c:pt idx="5">
                  <c:v>4990.0938223938219</c:v>
                </c:pt>
                <c:pt idx="6">
                  <c:v>4990.0938223938219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green'!$AM$56:$AM$62</c:f>
              <c:numCache>
                <c:formatCode>General</c:formatCode>
                <c:ptCount val="7"/>
                <c:pt idx="0">
                  <c:v>4696.8347007722014</c:v>
                </c:pt>
                <c:pt idx="1">
                  <c:v>4510.5430015865559</c:v>
                </c:pt>
                <c:pt idx="2">
                  <c:v>4276.33445945946</c:v>
                </c:pt>
                <c:pt idx="3">
                  <c:v>6165</c:v>
                </c:pt>
                <c:pt idx="4">
                  <c:v>4556.1126735135012</c:v>
                </c:pt>
                <c:pt idx="5">
                  <c:v>4696.8347007722014</c:v>
                </c:pt>
                <c:pt idx="6">
                  <c:v>4696.8347007722014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green'!$AC$56:$AC$62</c:f>
              <c:numCache>
                <c:formatCode>General</c:formatCode>
                <c:ptCount val="7"/>
                <c:pt idx="0">
                  <c:v>1279.8914092664095</c:v>
                </c:pt>
                <c:pt idx="1">
                  <c:v>1221.015444015444</c:v>
                </c:pt>
                <c:pt idx="2">
                  <c:v>1060.2081773745274</c:v>
                </c:pt>
                <c:pt idx="3">
                  <c:v>985.51158301158307</c:v>
                </c:pt>
                <c:pt idx="4">
                  <c:v>1710.95</c:v>
                </c:pt>
                <c:pt idx="5">
                  <c:v>1279.8914092664095</c:v>
                </c:pt>
                <c:pt idx="6">
                  <c:v>1279.8914092664095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green'!$AA$56:$AA$62</c:f>
              <c:numCache>
                <c:formatCode>General</c:formatCode>
                <c:ptCount val="7"/>
                <c:pt idx="0">
                  <c:v>264</c:v>
                </c:pt>
                <c:pt idx="1">
                  <c:v>264</c:v>
                </c:pt>
                <c:pt idx="2">
                  <c:v>262.15979729729725</c:v>
                </c:pt>
                <c:pt idx="3">
                  <c:v>260.30135135135134</c:v>
                </c:pt>
                <c:pt idx="4">
                  <c:v>264</c:v>
                </c:pt>
                <c:pt idx="5">
                  <c:v>264</c:v>
                </c:pt>
                <c:pt idx="6">
                  <c:v>264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green'!$AE$56:$AE$62</c:f>
              <c:numCache>
                <c:formatCode>General</c:formatCode>
                <c:ptCount val="7"/>
                <c:pt idx="0">
                  <c:v>288.61158301158298</c:v>
                </c:pt>
                <c:pt idx="1">
                  <c:v>275.59845559845559</c:v>
                </c:pt>
                <c:pt idx="2">
                  <c:v>269.04000000000002</c:v>
                </c:pt>
                <c:pt idx="3">
                  <c:v>256.07876447876447</c:v>
                </c:pt>
                <c:pt idx="4">
                  <c:v>275.59845559845559</c:v>
                </c:pt>
                <c:pt idx="5">
                  <c:v>288.61158301158298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intermediate vs green'!$K$48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intermediate vs green'!$K$56:$K$62</c:f>
              <c:numCache>
                <c:formatCode>General</c:formatCode>
                <c:ptCount val="7"/>
                <c:pt idx="0">
                  <c:v>3642</c:v>
                </c:pt>
                <c:pt idx="1">
                  <c:v>3360</c:v>
                </c:pt>
                <c:pt idx="2">
                  <c:v>3128</c:v>
                </c:pt>
                <c:pt idx="3">
                  <c:v>3263</c:v>
                </c:pt>
                <c:pt idx="4">
                  <c:v>3517</c:v>
                </c:pt>
                <c:pt idx="5">
                  <c:v>3642</c:v>
                </c:pt>
                <c:pt idx="6">
                  <c:v>3595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564672"/>
        <c:axId val="173566208"/>
      </c:barChart>
      <c:catAx>
        <c:axId val="17356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566208"/>
        <c:crosses val="autoZero"/>
        <c:auto val="1"/>
        <c:lblAlgn val="ctr"/>
        <c:lblOffset val="100"/>
        <c:noMultiLvlLbl val="0"/>
      </c:catAx>
      <c:valAx>
        <c:axId val="1735662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3564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84326152871663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2x500 intermediate vs green'!$AK$48</c:f>
              <c:strCache>
                <c:ptCount val="1"/>
                <c:pt idx="0">
                  <c:v>NP2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green'!$AK$49:$AK$55</c:f>
              <c:numCache>
                <c:formatCode>General</c:formatCode>
                <c:ptCount val="7"/>
                <c:pt idx="0">
                  <c:v>3359.8510437096015</c:v>
                </c:pt>
                <c:pt idx="1">
                  <c:v>2768.1489562904062</c:v>
                </c:pt>
                <c:pt idx="2">
                  <c:v>2768.1489562904071</c:v>
                </c:pt>
                <c:pt idx="3">
                  <c:v>2768.148956290413</c:v>
                </c:pt>
                <c:pt idx="4">
                  <c:v>2768.1489562904098</c:v>
                </c:pt>
                <c:pt idx="5">
                  <c:v>3359.8510437096011</c:v>
                </c:pt>
                <c:pt idx="6">
                  <c:v>3312.9317053410164</c:v>
                </c:pt>
              </c:numCache>
            </c:numRef>
          </c:val>
        </c:ser>
        <c:ser>
          <c:idx val="0"/>
          <c:order val="1"/>
          <c:tx>
            <c:strRef>
              <c:f>'stg 2x500 intermediate vs green'!$AG$48</c:f>
              <c:strCache>
                <c:ptCount val="1"/>
                <c:pt idx="0">
                  <c:v>NO&gt;NO2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green'!$AG$49:$AG$55</c:f>
              <c:numCache>
                <c:formatCode>General</c:formatCode>
                <c:ptCount val="7"/>
                <c:pt idx="0">
                  <c:v>2286.3121601208459</c:v>
                </c:pt>
                <c:pt idx="1">
                  <c:v>3368.2000000000003</c:v>
                </c:pt>
                <c:pt idx="2">
                  <c:v>2035.091163141994</c:v>
                </c:pt>
                <c:pt idx="3">
                  <c:v>1825.740332326284</c:v>
                </c:pt>
                <c:pt idx="4">
                  <c:v>2202.5718277945621</c:v>
                </c:pt>
                <c:pt idx="5">
                  <c:v>2286.3121601208459</c:v>
                </c:pt>
                <c:pt idx="6">
                  <c:v>2286.3121601208459</c:v>
                </c:pt>
              </c:numCache>
            </c:numRef>
          </c:val>
        </c:ser>
        <c:ser>
          <c:idx val="1"/>
          <c:order val="2"/>
          <c:tx>
            <c:strRef>
              <c:f>'stg 2x500 intermediate vs green'!$AI$48</c:f>
              <c:strCache>
                <c:ptCount val="1"/>
                <c:pt idx="0">
                  <c:v>RUm&gt;RUm2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green'!$AI$49:$AI$55</c:f>
              <c:numCache>
                <c:formatCode>General</c:formatCode>
                <c:ptCount val="7"/>
                <c:pt idx="0">
                  <c:v>4320.1290030211476</c:v>
                </c:pt>
                <c:pt idx="1">
                  <c:v>4166.5706948640482</c:v>
                </c:pt>
                <c:pt idx="2">
                  <c:v>6327.2000000000007</c:v>
                </c:pt>
                <c:pt idx="3">
                  <c:v>3475.5583081570994</c:v>
                </c:pt>
                <c:pt idx="4">
                  <c:v>4166.5706948640482</c:v>
                </c:pt>
                <c:pt idx="5">
                  <c:v>4320.1290030211476</c:v>
                </c:pt>
                <c:pt idx="6">
                  <c:v>4320.1290030211476</c:v>
                </c:pt>
              </c:numCache>
            </c:numRef>
          </c:val>
        </c:ser>
        <c:ser>
          <c:idx val="2"/>
          <c:order val="3"/>
          <c:tx>
            <c:strRef>
              <c:f>'stg 2x500 intermediate vs green'!$AM$48</c:f>
              <c:strCache>
                <c:ptCount val="1"/>
                <c:pt idx="0">
                  <c:v>LNG2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green'!$AM$49:$AM$55</c:f>
              <c:numCache>
                <c:formatCode>General</c:formatCode>
                <c:ptCount val="7"/>
                <c:pt idx="0">
                  <c:v>3814.5170492447082</c:v>
                </c:pt>
                <c:pt idx="1">
                  <c:v>3520.4503398791539</c:v>
                </c:pt>
                <c:pt idx="2">
                  <c:v>3087.7278134010917</c:v>
                </c:pt>
                <c:pt idx="3">
                  <c:v>6165</c:v>
                </c:pt>
                <c:pt idx="4">
                  <c:v>3584.4292484463831</c:v>
                </c:pt>
                <c:pt idx="5">
                  <c:v>3794.5092697885148</c:v>
                </c:pt>
                <c:pt idx="6">
                  <c:v>3739.8049471299091</c:v>
                </c:pt>
              </c:numCache>
            </c:numRef>
          </c:val>
        </c:ser>
        <c:ser>
          <c:idx val="3"/>
          <c:order val="4"/>
          <c:tx>
            <c:strRef>
              <c:f>'stg 2x500 intermediate vs green'!$AC$48</c:f>
              <c:strCache>
                <c:ptCount val="1"/>
                <c:pt idx="0">
                  <c:v>DZ&gt;DZ2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green'!$AC$49:$AC$55</c:f>
              <c:numCache>
                <c:formatCode>General</c:formatCode>
                <c:ptCount val="7"/>
                <c:pt idx="0">
                  <c:v>923.96752265861028</c:v>
                </c:pt>
                <c:pt idx="1">
                  <c:v>796.15813817446815</c:v>
                </c:pt>
                <c:pt idx="2">
                  <c:v>647.55287009063443</c:v>
                </c:pt>
                <c:pt idx="3">
                  <c:v>400.28638590862687</c:v>
                </c:pt>
                <c:pt idx="4">
                  <c:v>1710.95</c:v>
                </c:pt>
                <c:pt idx="5">
                  <c:v>923.96752265861028</c:v>
                </c:pt>
                <c:pt idx="6">
                  <c:v>877.89841389728099</c:v>
                </c:pt>
              </c:numCache>
            </c:numRef>
          </c:val>
        </c:ser>
        <c:ser>
          <c:idx val="4"/>
          <c:order val="5"/>
          <c:tx>
            <c:strRef>
              <c:f>'stg 2x500 intermediate vs green'!$AA$48</c:f>
              <c:strCache>
                <c:ptCount val="1"/>
                <c:pt idx="0">
                  <c:v>AZ&gt;AZ2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2x500 intermediate vs green'!$F$49:$F$55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2x500 intermediate vs green'!$AA$49:$AA$55</c:f>
              <c:numCache>
                <c:formatCode>General</c:formatCode>
                <c:ptCount val="7"/>
                <c:pt idx="0">
                  <c:v>256.90449395770389</c:v>
                </c:pt>
                <c:pt idx="1">
                  <c:v>253.99611027190329</c:v>
                </c:pt>
                <c:pt idx="2">
                  <c:v>248.17934290030209</c:v>
                </c:pt>
                <c:pt idx="3">
                  <c:v>240.9083836858006</c:v>
                </c:pt>
                <c:pt idx="4">
                  <c:v>253.99611027190329</c:v>
                </c:pt>
                <c:pt idx="5">
                  <c:v>264</c:v>
                </c:pt>
                <c:pt idx="6">
                  <c:v>256.90449395770389</c:v>
                </c:pt>
              </c:numCache>
            </c:numRef>
          </c:val>
        </c:ser>
        <c:ser>
          <c:idx val="6"/>
          <c:order val="6"/>
          <c:tx>
            <c:strRef>
              <c:f>'stg 2x500 intermediate vs green'!$AE$48</c:f>
              <c:strCache>
                <c:ptCount val="1"/>
                <c:pt idx="0">
                  <c:v>LY&gt;LY2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2x500 intermediate vs green'!$AE$49:$AE$55</c:f>
              <c:numCache>
                <c:formatCode>General</c:formatCode>
                <c:ptCount val="7"/>
                <c:pt idx="0">
                  <c:v>244.18610271903322</c:v>
                </c:pt>
                <c:pt idx="1">
                  <c:v>234.00362537764349</c:v>
                </c:pt>
                <c:pt idx="2">
                  <c:v>213.63867069486403</c:v>
                </c:pt>
                <c:pt idx="3">
                  <c:v>188.18247734138973</c:v>
                </c:pt>
                <c:pt idx="4">
                  <c:v>234.00362537764349</c:v>
                </c:pt>
                <c:pt idx="5">
                  <c:v>244.18610271903322</c:v>
                </c:pt>
                <c:pt idx="6">
                  <c:v>336.3</c:v>
                </c:pt>
              </c:numCache>
            </c:numRef>
          </c:val>
        </c:ser>
        <c:ser>
          <c:idx val="7"/>
          <c:order val="7"/>
          <c:tx>
            <c:strRef>
              <c:f>'stg 2x500 intermediate vs green'!$K$48</c:f>
              <c:strCache>
                <c:ptCount val="1"/>
                <c:pt idx="0">
                  <c:v>UGS use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val>
            <c:numRef>
              <c:f>'stg 2x500 intermediate vs green'!$K$49:$K$55</c:f>
              <c:numCache>
                <c:formatCode>General</c:formatCode>
                <c:ptCount val="7"/>
                <c:pt idx="0">
                  <c:v>2812</c:v>
                </c:pt>
                <c:pt idx="1">
                  <c:v>2972</c:v>
                </c:pt>
                <c:pt idx="2">
                  <c:v>2751</c:v>
                </c:pt>
                <c:pt idx="3">
                  <c:v>3015</c:v>
                </c:pt>
                <c:pt idx="4">
                  <c:v>3158</c:v>
                </c:pt>
                <c:pt idx="5">
                  <c:v>2825</c:v>
                </c:pt>
                <c:pt idx="6">
                  <c:v>2924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748224"/>
        <c:axId val="173749760"/>
      </c:barChart>
      <c:catAx>
        <c:axId val="17374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749760"/>
        <c:crosses val="autoZero"/>
        <c:auto val="1"/>
        <c:lblAlgn val="ctr"/>
        <c:lblOffset val="100"/>
        <c:noMultiLvlLbl val="0"/>
      </c:catAx>
      <c:valAx>
        <c:axId val="173749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3748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8028932677368477E-2"/>
          <c:h val="0.4572285051310617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gre'!$K$49:$K$55</c:f>
              <c:numCache>
                <c:formatCode>General</c:formatCode>
                <c:ptCount val="7"/>
                <c:pt idx="0">
                  <c:v>2250</c:v>
                </c:pt>
                <c:pt idx="1">
                  <c:v>2493</c:v>
                </c:pt>
                <c:pt idx="2">
                  <c:v>2343</c:v>
                </c:pt>
                <c:pt idx="3">
                  <c:v>2873</c:v>
                </c:pt>
                <c:pt idx="4">
                  <c:v>2688</c:v>
                </c:pt>
                <c:pt idx="5">
                  <c:v>2266</c:v>
                </c:pt>
                <c:pt idx="6">
                  <c:v>2290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gre'!$K$56:$K$62</c:f>
              <c:numCache>
                <c:formatCode>General</c:formatCode>
                <c:ptCount val="7"/>
                <c:pt idx="0">
                  <c:v>2928</c:v>
                </c:pt>
                <c:pt idx="1">
                  <c:v>2688</c:v>
                </c:pt>
                <c:pt idx="2">
                  <c:v>2606</c:v>
                </c:pt>
                <c:pt idx="3">
                  <c:v>2826</c:v>
                </c:pt>
                <c:pt idx="4">
                  <c:v>2913</c:v>
                </c:pt>
                <c:pt idx="5">
                  <c:v>2928</c:v>
                </c:pt>
                <c:pt idx="6">
                  <c:v>2893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687488"/>
        <c:axId val="170717952"/>
      </c:barChart>
      <c:catAx>
        <c:axId val="170687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717952"/>
        <c:crosses val="autoZero"/>
        <c:auto val="1"/>
        <c:lblAlgn val="ctr"/>
        <c:lblOffset val="100"/>
        <c:noMultiLvlLbl val="0"/>
      </c:catAx>
      <c:valAx>
        <c:axId val="1707179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UGS injection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687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gre'!$AO$49:$AO$55</c:f>
              <c:numCache>
                <c:formatCode>General</c:formatCode>
                <c:ptCount val="7"/>
                <c:pt idx="0">
                  <c:v>1.0229010096468578</c:v>
                </c:pt>
                <c:pt idx="1">
                  <c:v>1.0231662751926927</c:v>
                </c:pt>
                <c:pt idx="2">
                  <c:v>1.0237156791420796</c:v>
                </c:pt>
                <c:pt idx="3">
                  <c:v>1.0090818389086604</c:v>
                </c:pt>
                <c:pt idx="4">
                  <c:v>1.0231662751926927</c:v>
                </c:pt>
                <c:pt idx="5">
                  <c:v>1</c:v>
                </c:pt>
                <c:pt idx="6">
                  <c:v>1.0258375992413997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gre'!$AO$56:$AO$62</c:f>
              <c:numCache>
                <c:formatCode>General</c:formatCode>
                <c:ptCount val="7"/>
                <c:pt idx="0">
                  <c:v>1.0142446444679514</c:v>
                </c:pt>
                <c:pt idx="1">
                  <c:v>1.0178783909904008</c:v>
                </c:pt>
                <c:pt idx="2">
                  <c:v>1.0252245597854146</c:v>
                </c:pt>
                <c:pt idx="3">
                  <c:v>1.0326775360523317</c:v>
                </c:pt>
                <c:pt idx="4">
                  <c:v>1.0178783909904008</c:v>
                </c:pt>
                <c:pt idx="5">
                  <c:v>1</c:v>
                </c:pt>
                <c:pt idx="6">
                  <c:v>1.0142446444679514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43296"/>
        <c:axId val="170744832"/>
      </c:barChart>
      <c:catAx>
        <c:axId val="170743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744832"/>
        <c:crosses val="autoZero"/>
        <c:auto val="1"/>
        <c:lblAlgn val="ctr"/>
        <c:lblOffset val="100"/>
        <c:noMultiLvlLbl val="0"/>
      </c:catAx>
      <c:valAx>
        <c:axId val="170744832"/>
        <c:scaling>
          <c:orientation val="minMax"/>
          <c:min val="0.98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AZ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743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gre'!$AP$49:$AP$55</c:f>
              <c:numCache>
                <c:formatCode>General</c:formatCode>
                <c:ptCount val="7"/>
                <c:pt idx="0">
                  <c:v>1.2563208888687594</c:v>
                </c:pt>
                <c:pt idx="1">
                  <c:v>1.2656727160669261</c:v>
                </c:pt>
                <c:pt idx="2">
                  <c:v>1.3617906100995962</c:v>
                </c:pt>
                <c:pt idx="3">
                  <c:v>1.1985146106141553</c:v>
                </c:pt>
                <c:pt idx="4">
                  <c:v>1.0627018633540382</c:v>
                </c:pt>
                <c:pt idx="5">
                  <c:v>1.2563208888687594</c:v>
                </c:pt>
                <c:pt idx="6">
                  <c:v>1.2345199411926699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gre'!$AP$56:$AP$62</c:f>
              <c:numCache>
                <c:formatCode>General</c:formatCode>
                <c:ptCount val="7"/>
                <c:pt idx="0">
                  <c:v>1.2026468124585488</c:v>
                </c:pt>
                <c:pt idx="1">
                  <c:v>1.2254947039493596</c:v>
                </c:pt>
                <c:pt idx="2">
                  <c:v>1.2637443200669491</c:v>
                </c:pt>
                <c:pt idx="3">
                  <c:v>1.2790471054805941</c:v>
                </c:pt>
                <c:pt idx="4">
                  <c:v>1.062701863354037</c:v>
                </c:pt>
                <c:pt idx="5">
                  <c:v>1.2026468124585488</c:v>
                </c:pt>
                <c:pt idx="6">
                  <c:v>1.2026468124585488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82720"/>
        <c:axId val="170784256"/>
      </c:barChart>
      <c:catAx>
        <c:axId val="170782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784256"/>
        <c:crosses val="autoZero"/>
        <c:auto val="1"/>
        <c:lblAlgn val="ctr"/>
        <c:lblOffset val="100"/>
        <c:noMultiLvlLbl val="0"/>
      </c:catAx>
      <c:valAx>
        <c:axId val="17078425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DZ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0782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gre'!$AQ$49:$AQ$55</c:f>
              <c:numCache>
                <c:formatCode>General</c:formatCode>
                <c:ptCount val="7"/>
                <c:pt idx="0">
                  <c:v>1.0870283725301852</c:v>
                </c:pt>
                <c:pt idx="1">
                  <c:v>1.0909876249919013</c:v>
                </c:pt>
                <c:pt idx="2">
                  <c:v>1.100095034449988</c:v>
                </c:pt>
                <c:pt idx="3">
                  <c:v>1.0411386945893779</c:v>
                </c:pt>
                <c:pt idx="4">
                  <c:v>1.0909876249919013</c:v>
                </c:pt>
                <c:pt idx="5">
                  <c:v>1.0870283725301852</c:v>
                </c:pt>
                <c:pt idx="6">
                  <c:v>1.0008928571428561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gre'!$AQ$56:$AQ$62</c:f>
              <c:numCache>
                <c:formatCode>General</c:formatCode>
                <c:ptCount val="7"/>
                <c:pt idx="0">
                  <c:v>1.0944354160829364</c:v>
                </c:pt>
                <c:pt idx="1">
                  <c:v>1.0991154189996706</c:v>
                </c:pt>
                <c:pt idx="2">
                  <c:v>1.1042834688548127</c:v>
                </c:pt>
                <c:pt idx="3">
                  <c:v>1.1220935287241953</c:v>
                </c:pt>
                <c:pt idx="4">
                  <c:v>1.110140271480069</c:v>
                </c:pt>
                <c:pt idx="5">
                  <c:v>1.0944354160829364</c:v>
                </c:pt>
                <c:pt idx="6">
                  <c:v>1.0008928571428573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71424"/>
        <c:axId val="174481408"/>
      </c:barChart>
      <c:catAx>
        <c:axId val="174471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481408"/>
        <c:crosses val="autoZero"/>
        <c:auto val="1"/>
        <c:lblAlgn val="ctr"/>
        <c:lblOffset val="100"/>
        <c:noMultiLvlLbl val="0"/>
      </c:catAx>
      <c:valAx>
        <c:axId val="17448140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LY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471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gre'!$AR$49:$AR$55</c:f>
              <c:numCache>
                <c:formatCode>General</c:formatCode>
                <c:ptCount val="7"/>
                <c:pt idx="0">
                  <c:v>1.0760386846590455</c:v>
                </c:pt>
                <c:pt idx="1">
                  <c:v>1.1000000000000003</c:v>
                </c:pt>
                <c:pt idx="2">
                  <c:v>1.0858280643376452</c:v>
                </c:pt>
                <c:pt idx="3">
                  <c:v>1.0347989065695571</c:v>
                </c:pt>
                <c:pt idx="4">
                  <c:v>1.0790438810310179</c:v>
                </c:pt>
                <c:pt idx="5">
                  <c:v>1.0760386846590455</c:v>
                </c:pt>
                <c:pt idx="6">
                  <c:v>1.0772560769815984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gre'!$AR$56:$AR$62</c:f>
              <c:numCache>
                <c:formatCode>General</c:formatCode>
                <c:ptCount val="7"/>
                <c:pt idx="0">
                  <c:v>1.0841134587398367</c:v>
                </c:pt>
                <c:pt idx="1">
                  <c:v>1.1000000000000003</c:v>
                </c:pt>
                <c:pt idx="2">
                  <c:v>1.1021454740604288</c:v>
                </c:pt>
                <c:pt idx="3">
                  <c:v>1.107003204295425</c:v>
                </c:pt>
                <c:pt idx="4">
                  <c:v>1.0977096523877929</c:v>
                </c:pt>
                <c:pt idx="5">
                  <c:v>1.0841134587398367</c:v>
                </c:pt>
                <c:pt idx="6">
                  <c:v>1.089913064031466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502656"/>
        <c:axId val="174504192"/>
      </c:barChart>
      <c:catAx>
        <c:axId val="174502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504192"/>
        <c:crosses val="autoZero"/>
        <c:auto val="1"/>
        <c:lblAlgn val="ctr"/>
        <c:lblOffset val="100"/>
        <c:noMultiLvlLbl val="0"/>
      </c:catAx>
      <c:valAx>
        <c:axId val="174504192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NO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502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gre'!$AS$49:$AS$55</c:f>
              <c:numCache>
                <c:formatCode>General</c:formatCode>
                <c:ptCount val="7"/>
                <c:pt idx="0">
                  <c:v>1.0737096856877451</c:v>
                </c:pt>
                <c:pt idx="1">
                  <c:v>1.076530193958912</c:v>
                </c:pt>
                <c:pt idx="2">
                  <c:v>1.1000000000000014</c:v>
                </c:pt>
                <c:pt idx="3">
                  <c:v>1.0335068598975559</c:v>
                </c:pt>
                <c:pt idx="4">
                  <c:v>1.076530193958912</c:v>
                </c:pt>
                <c:pt idx="5">
                  <c:v>1.0737096856877451</c:v>
                </c:pt>
                <c:pt idx="6">
                  <c:v>1.0836945336195736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gre'!$AS$56:$AS$62</c:f>
              <c:numCache>
                <c:formatCode>General</c:formatCode>
                <c:ptCount val="7"/>
                <c:pt idx="0">
                  <c:v>1.0823710892672271</c:v>
                </c:pt>
                <c:pt idx="1">
                  <c:v>1.0950261018899561</c:v>
                </c:pt>
                <c:pt idx="2">
                  <c:v>1.0999999999999999</c:v>
                </c:pt>
                <c:pt idx="3">
                  <c:v>1.1002938498922341</c:v>
                </c:pt>
                <c:pt idx="4">
                  <c:v>1.0928254018839156</c:v>
                </c:pt>
                <c:pt idx="5">
                  <c:v>1.0832092752122802</c:v>
                </c:pt>
                <c:pt idx="6">
                  <c:v>1.0930609422063831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205952"/>
        <c:axId val="174215936"/>
      </c:barChart>
      <c:catAx>
        <c:axId val="174205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215936"/>
        <c:crosses val="autoZero"/>
        <c:auto val="1"/>
        <c:lblAlgn val="ctr"/>
        <c:lblOffset val="100"/>
        <c:noMultiLvlLbl val="0"/>
      </c:catAx>
      <c:valAx>
        <c:axId val="17421593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RU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205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gre'!$AT$49:$AT$55</c:f>
              <c:numCache>
                <c:formatCode>General</c:formatCode>
                <c:ptCount val="7"/>
                <c:pt idx="0">
                  <c:v>1.0965571291480405</c:v>
                </c:pt>
                <c:pt idx="1">
                  <c:v>1.0018746190656256</c:v>
                </c:pt>
                <c:pt idx="2">
                  <c:v>0.99999999999999956</c:v>
                </c:pt>
                <c:pt idx="3">
                  <c:v>1.0000000000000002</c:v>
                </c:pt>
                <c:pt idx="4">
                  <c:v>1.0096611681585199</c:v>
                </c:pt>
                <c:pt idx="5">
                  <c:v>1.0965571291480394</c:v>
                </c:pt>
                <c:pt idx="6">
                  <c:v>1.0965571291480394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gre'!$AT$56:$AT$62</c:f>
              <c:numCache>
                <c:formatCode>General</c:formatCode>
                <c:ptCount val="7"/>
                <c:pt idx="0">
                  <c:v>1.09655712914804</c:v>
                </c:pt>
                <c:pt idx="1">
                  <c:v>1.0965571291480412</c:v>
                </c:pt>
                <c:pt idx="2">
                  <c:v>1.0965571291480405</c:v>
                </c:pt>
                <c:pt idx="3">
                  <c:v>1.0965571291480414</c:v>
                </c:pt>
                <c:pt idx="4">
                  <c:v>1.0965571291480403</c:v>
                </c:pt>
                <c:pt idx="5">
                  <c:v>1.0965571291480409</c:v>
                </c:pt>
                <c:pt idx="6">
                  <c:v>1.0965571291480398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253568"/>
        <c:axId val="174255104"/>
      </c:barChart>
      <c:catAx>
        <c:axId val="174253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255104"/>
        <c:crosses val="autoZero"/>
        <c:auto val="1"/>
        <c:lblAlgn val="ctr"/>
        <c:lblOffset val="100"/>
        <c:noMultiLvlLbl val="0"/>
      </c:catAx>
      <c:valAx>
        <c:axId val="17425510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NP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253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gre'!$AU$49:$AU$55</c:f>
              <c:numCache>
                <c:formatCode>General</c:formatCode>
                <c:ptCount val="7"/>
                <c:pt idx="0">
                  <c:v>1.1338086487144654</c:v>
                </c:pt>
                <c:pt idx="1">
                  <c:v>1.1328980587158559</c:v>
                </c:pt>
                <c:pt idx="2">
                  <c:v>1.160896964866257</c:v>
                </c:pt>
                <c:pt idx="3">
                  <c:v>1.1140340516677842</c:v>
                </c:pt>
                <c:pt idx="4">
                  <c:v>1.1328980587158559</c:v>
                </c:pt>
                <c:pt idx="5">
                  <c:v>1.1313662120910242</c:v>
                </c:pt>
                <c:pt idx="6">
                  <c:v>1.1246173563455437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gre'!$AU$56:$AU$62</c:f>
              <c:numCache>
                <c:formatCode>General</c:formatCode>
                <c:ptCount val="7"/>
                <c:pt idx="0">
                  <c:v>1.1269482248943434</c:v>
                </c:pt>
                <c:pt idx="1">
                  <c:v>1.1499187634009351</c:v>
                </c:pt>
                <c:pt idx="2">
                  <c:v>1.1606631691156233</c:v>
                </c:pt>
                <c:pt idx="3">
                  <c:v>1.0999107939339876</c:v>
                </c:pt>
                <c:pt idx="4">
                  <c:v>1.1447264814152069</c:v>
                </c:pt>
                <c:pt idx="5">
                  <c:v>1.1269482248943434</c:v>
                </c:pt>
                <c:pt idx="6">
                  <c:v>1.1269482248943434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358912"/>
        <c:axId val="174360448"/>
      </c:barChart>
      <c:catAx>
        <c:axId val="174358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360448"/>
        <c:crosses val="autoZero"/>
        <c:auto val="1"/>
        <c:lblAlgn val="ctr"/>
        <c:lblOffset val="100"/>
        <c:noMultiLvlLbl val="0"/>
      </c:catAx>
      <c:valAx>
        <c:axId val="17436044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LNG</a:t>
                </a:r>
              </a:p>
            </c:rich>
          </c:tx>
          <c:layout>
            <c:manualLayout>
              <c:xMode val="edge"/>
              <c:yMode val="edge"/>
              <c:x val="6.1852041272600876E-3"/>
              <c:y val="1.6305694043681457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358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2x500 vs. 2x1000 green'!$I$49</c:f>
              <c:strCache>
                <c:ptCount val="1"/>
                <c:pt idx="0">
                  <c:v>2x500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green'!$AO$49:$AU$49</c:f>
              <c:numCache>
                <c:formatCode>General</c:formatCode>
                <c:ptCount val="7"/>
                <c:pt idx="0">
                  <c:v>1.0070544327973134</c:v>
                </c:pt>
                <c:pt idx="1">
                  <c:v>1.1013234062292743</c:v>
                </c:pt>
                <c:pt idx="2">
                  <c:v>1.0472177080414684</c:v>
                </c:pt>
                <c:pt idx="3">
                  <c:v>1.0420567293699183</c:v>
                </c:pt>
                <c:pt idx="4">
                  <c:v>1.0418192355156399</c:v>
                </c:pt>
                <c:pt idx="5">
                  <c:v>1.0965571291480389</c:v>
                </c:pt>
                <c:pt idx="6">
                  <c:v>1.0634741124471716</c:v>
                </c:pt>
              </c:numCache>
            </c:numRef>
          </c:val>
        </c:ser>
        <c:ser>
          <c:idx val="1"/>
          <c:order val="1"/>
          <c:tx>
            <c:strRef>
              <c:f>'stg 2x500 vs. 2x1000 green'!$I$57</c:f>
              <c:strCache>
                <c:ptCount val="1"/>
                <c:pt idx="0">
                  <c:v>2x1000</c:v>
                </c:pt>
              </c:strCache>
            </c:strRef>
          </c:tx>
          <c:invertIfNegative val="0"/>
          <c:cat>
            <c:strRef>
              <c:f>'stg 2x500 vs. 2x1000 green'!$AO$48:$AU$48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2x500 vs. 2x1000 green'!$AO$56:$AU$56</c:f>
              <c:numCache>
                <c:formatCode>General</c:formatCode>
                <c:ptCount val="7"/>
                <c:pt idx="0">
                  <c:v>1.0142446444679514</c:v>
                </c:pt>
                <c:pt idx="1">
                  <c:v>1.2026468124585488</c:v>
                </c:pt>
                <c:pt idx="2">
                  <c:v>1.0944354160829364</c:v>
                </c:pt>
                <c:pt idx="3">
                  <c:v>1.0841134587398367</c:v>
                </c:pt>
                <c:pt idx="4">
                  <c:v>1.0823710892672271</c:v>
                </c:pt>
                <c:pt idx="5">
                  <c:v>1.09655712914804</c:v>
                </c:pt>
                <c:pt idx="6">
                  <c:v>1.1269482248943434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30016"/>
        <c:axId val="169431808"/>
      </c:barChart>
      <c:catAx>
        <c:axId val="169430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431808"/>
        <c:crosses val="autoZero"/>
        <c:auto val="1"/>
        <c:lblAlgn val="ctr"/>
        <c:lblOffset val="100"/>
        <c:noMultiLvlLbl val="0"/>
      </c:catAx>
      <c:valAx>
        <c:axId val="16943180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REF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69430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gre'!$AO$49:$AU$49</c:f>
              <c:numCache>
                <c:formatCode>General</c:formatCode>
                <c:ptCount val="7"/>
                <c:pt idx="0">
                  <c:v>1.0229010096468578</c:v>
                </c:pt>
                <c:pt idx="1">
                  <c:v>1.2563208888687594</c:v>
                </c:pt>
                <c:pt idx="2">
                  <c:v>1.0870283725301852</c:v>
                </c:pt>
                <c:pt idx="3">
                  <c:v>1.0760386846590455</c:v>
                </c:pt>
                <c:pt idx="4">
                  <c:v>1.0737096856877451</c:v>
                </c:pt>
                <c:pt idx="5">
                  <c:v>1.0965571291480405</c:v>
                </c:pt>
                <c:pt idx="6">
                  <c:v>1.1338086487144654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gre'!$D$59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gre'!$AO$56:$AU$56</c:f>
              <c:numCache>
                <c:formatCode>General</c:formatCode>
                <c:ptCount val="7"/>
                <c:pt idx="0">
                  <c:v>1.0142446444679514</c:v>
                </c:pt>
                <c:pt idx="1">
                  <c:v>1.2026468124585488</c:v>
                </c:pt>
                <c:pt idx="2">
                  <c:v>1.0944354160829364</c:v>
                </c:pt>
                <c:pt idx="3">
                  <c:v>1.0841134587398367</c:v>
                </c:pt>
                <c:pt idx="4">
                  <c:v>1.0823710892672271</c:v>
                </c:pt>
                <c:pt idx="5">
                  <c:v>1.09655712914804</c:v>
                </c:pt>
                <c:pt idx="6">
                  <c:v>1.1269482248943434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369408"/>
        <c:axId val="174391680"/>
      </c:barChart>
      <c:catAx>
        <c:axId val="174369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391680"/>
        <c:crosses val="autoZero"/>
        <c:auto val="1"/>
        <c:lblAlgn val="ctr"/>
        <c:lblOffset val="100"/>
        <c:noMultiLvlLbl val="0"/>
      </c:catAx>
      <c:valAx>
        <c:axId val="174391680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REF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369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gre'!$AO$50:$AU$50</c:f>
              <c:numCache>
                <c:formatCode>General</c:formatCode>
                <c:ptCount val="7"/>
                <c:pt idx="0">
                  <c:v>1.0231662751926927</c:v>
                </c:pt>
                <c:pt idx="1">
                  <c:v>1.2656727160669261</c:v>
                </c:pt>
                <c:pt idx="2">
                  <c:v>1.0909876249919013</c:v>
                </c:pt>
                <c:pt idx="3">
                  <c:v>1.1000000000000003</c:v>
                </c:pt>
                <c:pt idx="4">
                  <c:v>1.076530193958912</c:v>
                </c:pt>
                <c:pt idx="5">
                  <c:v>1.0018746190656256</c:v>
                </c:pt>
                <c:pt idx="6">
                  <c:v>1.1328980587158559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gre'!$AO$57:$AU$57</c:f>
              <c:numCache>
                <c:formatCode>General</c:formatCode>
                <c:ptCount val="7"/>
                <c:pt idx="0">
                  <c:v>1.0178783909904008</c:v>
                </c:pt>
                <c:pt idx="1">
                  <c:v>1.2254947039493596</c:v>
                </c:pt>
                <c:pt idx="2">
                  <c:v>1.0991154189996706</c:v>
                </c:pt>
                <c:pt idx="3">
                  <c:v>1.1000000000000003</c:v>
                </c:pt>
                <c:pt idx="4">
                  <c:v>1.0950261018899561</c:v>
                </c:pt>
                <c:pt idx="5">
                  <c:v>1.0965571291480412</c:v>
                </c:pt>
                <c:pt idx="6">
                  <c:v>1.1499187634009351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21120"/>
        <c:axId val="174422656"/>
      </c:barChart>
      <c:catAx>
        <c:axId val="174421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422656"/>
        <c:crosses val="autoZero"/>
        <c:auto val="1"/>
        <c:lblAlgn val="ctr"/>
        <c:lblOffset val="100"/>
        <c:noMultiLvlLbl val="0"/>
      </c:catAx>
      <c:valAx>
        <c:axId val="17442265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No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421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gre'!$AO$51:$AU$51</c:f>
              <c:numCache>
                <c:formatCode>General</c:formatCode>
                <c:ptCount val="7"/>
                <c:pt idx="0">
                  <c:v>1.0237156791420796</c:v>
                </c:pt>
                <c:pt idx="1">
                  <c:v>1.3617906100995962</c:v>
                </c:pt>
                <c:pt idx="2">
                  <c:v>1.100095034449988</c:v>
                </c:pt>
                <c:pt idx="3">
                  <c:v>1.0858280643376452</c:v>
                </c:pt>
                <c:pt idx="4">
                  <c:v>1.1000000000000014</c:v>
                </c:pt>
                <c:pt idx="5">
                  <c:v>0.99999999999999956</c:v>
                </c:pt>
                <c:pt idx="6">
                  <c:v>1.160896964866257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gre'!$AO$58:$AU$58</c:f>
              <c:numCache>
                <c:formatCode>General</c:formatCode>
                <c:ptCount val="7"/>
                <c:pt idx="0">
                  <c:v>1.0252245597854146</c:v>
                </c:pt>
                <c:pt idx="1">
                  <c:v>1.2637443200669491</c:v>
                </c:pt>
                <c:pt idx="2">
                  <c:v>1.1042834688548127</c:v>
                </c:pt>
                <c:pt idx="3">
                  <c:v>1.1021454740604288</c:v>
                </c:pt>
                <c:pt idx="4">
                  <c:v>1.0999999999999999</c:v>
                </c:pt>
                <c:pt idx="5">
                  <c:v>1.0965571291480405</c:v>
                </c:pt>
                <c:pt idx="6">
                  <c:v>1.1606631691156233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48000"/>
        <c:axId val="174453888"/>
      </c:barChart>
      <c:catAx>
        <c:axId val="174448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453888"/>
        <c:crosses val="autoZero"/>
        <c:auto val="1"/>
        <c:lblAlgn val="ctr"/>
        <c:lblOffset val="100"/>
        <c:noMultiLvlLbl val="0"/>
      </c:catAx>
      <c:valAx>
        <c:axId val="17445388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RU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448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gre'!$D$50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gre'!$AO$52:$AU$52</c:f>
              <c:numCache>
                <c:formatCode>General</c:formatCode>
                <c:ptCount val="7"/>
                <c:pt idx="0">
                  <c:v>1.0090818389086604</c:v>
                </c:pt>
                <c:pt idx="1">
                  <c:v>1.1985146106141553</c:v>
                </c:pt>
                <c:pt idx="2">
                  <c:v>1.0411386945893779</c:v>
                </c:pt>
                <c:pt idx="3">
                  <c:v>1.0347989065695571</c:v>
                </c:pt>
                <c:pt idx="4">
                  <c:v>1.0335068598975559</c:v>
                </c:pt>
                <c:pt idx="5">
                  <c:v>1.0000000000000002</c:v>
                </c:pt>
                <c:pt idx="6">
                  <c:v>1.1140340516677842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gre'!$AO$59:$AU$59</c:f>
              <c:numCache>
                <c:formatCode>General</c:formatCode>
                <c:ptCount val="7"/>
                <c:pt idx="0">
                  <c:v>1.0326775360523317</c:v>
                </c:pt>
                <c:pt idx="1">
                  <c:v>1.2790471054805941</c:v>
                </c:pt>
                <c:pt idx="2">
                  <c:v>1.1220935287241953</c:v>
                </c:pt>
                <c:pt idx="3">
                  <c:v>1.107003204295425</c:v>
                </c:pt>
                <c:pt idx="4">
                  <c:v>1.1002938498922341</c:v>
                </c:pt>
                <c:pt idx="5">
                  <c:v>1.0965571291480414</c:v>
                </c:pt>
                <c:pt idx="6">
                  <c:v>1.0999107939339876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888832"/>
        <c:axId val="174890368"/>
      </c:barChart>
      <c:catAx>
        <c:axId val="174888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890368"/>
        <c:crosses val="autoZero"/>
        <c:auto val="1"/>
        <c:lblAlgn val="ctr"/>
        <c:lblOffset val="100"/>
        <c:noMultiLvlLbl val="0"/>
      </c:catAx>
      <c:valAx>
        <c:axId val="174890368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LNG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888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gre'!$AO$53:$AU$53</c:f>
              <c:numCache>
                <c:formatCode>General</c:formatCode>
                <c:ptCount val="7"/>
                <c:pt idx="0">
                  <c:v>1.0231662751926927</c:v>
                </c:pt>
                <c:pt idx="1">
                  <c:v>1.0627018633540382</c:v>
                </c:pt>
                <c:pt idx="2">
                  <c:v>1.0909876249919013</c:v>
                </c:pt>
                <c:pt idx="3">
                  <c:v>1.0790438810310179</c:v>
                </c:pt>
                <c:pt idx="4">
                  <c:v>1.076530193958912</c:v>
                </c:pt>
                <c:pt idx="5">
                  <c:v>1.0096611681585199</c:v>
                </c:pt>
                <c:pt idx="6">
                  <c:v>1.1328980587158559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gre'!$D$58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gre'!$AO$60:$AU$60</c:f>
              <c:numCache>
                <c:formatCode>General</c:formatCode>
                <c:ptCount val="7"/>
                <c:pt idx="0">
                  <c:v>1.0178783909904008</c:v>
                </c:pt>
                <c:pt idx="1">
                  <c:v>1.062701863354037</c:v>
                </c:pt>
                <c:pt idx="2">
                  <c:v>1.110140271480069</c:v>
                </c:pt>
                <c:pt idx="3">
                  <c:v>1.0977096523877929</c:v>
                </c:pt>
                <c:pt idx="4">
                  <c:v>1.0928254018839156</c:v>
                </c:pt>
                <c:pt idx="5">
                  <c:v>1.0965571291480403</c:v>
                </c:pt>
                <c:pt idx="6">
                  <c:v>1.1447264814152069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592384"/>
        <c:axId val="174593920"/>
      </c:barChart>
      <c:catAx>
        <c:axId val="1745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593920"/>
        <c:crosses val="autoZero"/>
        <c:auto val="1"/>
        <c:lblAlgn val="ctr"/>
        <c:lblOffset val="100"/>
        <c:noMultiLvlLbl val="0"/>
      </c:catAx>
      <c:valAx>
        <c:axId val="174593920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DZ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592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gre'!$D$51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gre'!$AO$54:$AU$54</c:f>
              <c:numCache>
                <c:formatCode>General</c:formatCode>
                <c:ptCount val="7"/>
                <c:pt idx="0">
                  <c:v>1</c:v>
                </c:pt>
                <c:pt idx="1">
                  <c:v>1.2563208888687594</c:v>
                </c:pt>
                <c:pt idx="2">
                  <c:v>1.0870283725301852</c:v>
                </c:pt>
                <c:pt idx="3">
                  <c:v>1.0760386846590455</c:v>
                </c:pt>
                <c:pt idx="4">
                  <c:v>1.0737096856877451</c:v>
                </c:pt>
                <c:pt idx="5">
                  <c:v>1.0965571291480394</c:v>
                </c:pt>
                <c:pt idx="6">
                  <c:v>1.1313662120910242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gre'!$D$57</c:f>
              <c:strCache>
                <c:ptCount val="1"/>
                <c:pt idx="0">
                  <c:v>Green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gre'!$AO$61:$AU$61</c:f>
              <c:numCache>
                <c:formatCode>General</c:formatCode>
                <c:ptCount val="7"/>
                <c:pt idx="0">
                  <c:v>1</c:v>
                </c:pt>
                <c:pt idx="1">
                  <c:v>1.2026468124585488</c:v>
                </c:pt>
                <c:pt idx="2">
                  <c:v>1.0944354160829364</c:v>
                </c:pt>
                <c:pt idx="3">
                  <c:v>1.0841134587398367</c:v>
                </c:pt>
                <c:pt idx="4">
                  <c:v>1.0832092752122802</c:v>
                </c:pt>
                <c:pt idx="5">
                  <c:v>1.0965571291480409</c:v>
                </c:pt>
                <c:pt idx="6">
                  <c:v>1.1269482248943434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631552"/>
        <c:axId val="174633344"/>
      </c:barChart>
      <c:catAx>
        <c:axId val="174631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633344"/>
        <c:crosses val="autoZero"/>
        <c:auto val="1"/>
        <c:lblAlgn val="ctr"/>
        <c:lblOffset val="100"/>
        <c:noMultiLvlLbl val="0"/>
      </c:catAx>
      <c:valAx>
        <c:axId val="174633344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AZ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631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29262152023672E-2"/>
          <c:y val="0.12233406767161495"/>
          <c:w val="0.88857963544674734"/>
          <c:h val="0.75857269831481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'stg 2x1000 intermediate vs gre'!$D$49</c:f>
              <c:strCache>
                <c:ptCount val="1"/>
                <c:pt idx="0">
                  <c:v>Interm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gre'!$AO$55:$AU$55</c:f>
              <c:numCache>
                <c:formatCode>General</c:formatCode>
                <c:ptCount val="7"/>
                <c:pt idx="0">
                  <c:v>1.0258375992413997</c:v>
                </c:pt>
                <c:pt idx="1">
                  <c:v>1.2345199411926699</c:v>
                </c:pt>
                <c:pt idx="2">
                  <c:v>1.0008928571428561</c:v>
                </c:pt>
                <c:pt idx="3">
                  <c:v>1.0772560769815984</c:v>
                </c:pt>
                <c:pt idx="4">
                  <c:v>1.0836945336195736</c:v>
                </c:pt>
                <c:pt idx="5">
                  <c:v>1.0965571291480394</c:v>
                </c:pt>
                <c:pt idx="6">
                  <c:v>1.1246173563455437</c:v>
                </c:pt>
              </c:numCache>
            </c:numRef>
          </c:val>
        </c:ser>
        <c:ser>
          <c:idx val="1"/>
          <c:order val="1"/>
          <c:tx>
            <c:strRef>
              <c:f>'stg 2x1000 intermediate vs gre'!$C$57</c:f>
              <c:strCache>
                <c:ptCount val="1"/>
                <c:pt idx="0">
                  <c:v>FID</c:v>
                </c:pt>
              </c:strCache>
            </c:strRef>
          </c:tx>
          <c:invertIfNegative val="0"/>
          <c:cat>
            <c:strRef>
              <c:f>'stg 2x1000 intermediate vs gre'!$AO$48:$AU$48</c:f>
              <c:strCache>
                <c:ptCount val="7"/>
                <c:pt idx="0">
                  <c:v>AZ</c:v>
                </c:pt>
                <c:pt idx="1">
                  <c:v>DZ</c:v>
                </c:pt>
                <c:pt idx="2">
                  <c:v>LY</c:v>
                </c:pt>
                <c:pt idx="3">
                  <c:v>NO</c:v>
                </c:pt>
                <c:pt idx="4">
                  <c:v>RU</c:v>
                </c:pt>
                <c:pt idx="5">
                  <c:v>NP</c:v>
                </c:pt>
                <c:pt idx="6">
                  <c:v>LNG</c:v>
                </c:pt>
              </c:strCache>
            </c:strRef>
          </c:cat>
          <c:val>
            <c:numRef>
              <c:f>'stg 2x1000 intermediate vs gre'!$AO$62:$AU$62</c:f>
              <c:numCache>
                <c:formatCode>General</c:formatCode>
                <c:ptCount val="7"/>
                <c:pt idx="0">
                  <c:v>1.0142446444679514</c:v>
                </c:pt>
                <c:pt idx="1">
                  <c:v>1.2026468124585488</c:v>
                </c:pt>
                <c:pt idx="2">
                  <c:v>1.0008928571428573</c:v>
                </c:pt>
                <c:pt idx="3">
                  <c:v>1.089913064031466</c:v>
                </c:pt>
                <c:pt idx="4">
                  <c:v>1.0930609422063831</c:v>
                </c:pt>
                <c:pt idx="5">
                  <c:v>1.0965571291480398</c:v>
                </c:pt>
                <c:pt idx="6">
                  <c:v>1.1269482248943434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789760"/>
        <c:axId val="174791296"/>
      </c:barChart>
      <c:catAx>
        <c:axId val="174789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791296"/>
        <c:crosses val="autoZero"/>
        <c:auto val="1"/>
        <c:lblAlgn val="ctr"/>
        <c:lblOffset val="100"/>
        <c:noMultiLvlLbl val="0"/>
      </c:catAx>
      <c:valAx>
        <c:axId val="17479129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en-US" sz="1800"/>
                  <a:t>Seasonal modulation Cheap</a:t>
                </a:r>
                <a:r>
                  <a:rPr lang="en-US" sz="1800" baseline="0"/>
                  <a:t> LY</a:t>
                </a:r>
                <a:r>
                  <a:rPr lang="en-US" sz="1800"/>
                  <a:t> </a:t>
                </a:r>
              </a:p>
            </c:rich>
          </c:tx>
          <c:layout>
            <c:manualLayout>
              <c:xMode val="edge"/>
              <c:yMode val="edge"/>
              <c:x val="6.958354643167599E-3"/>
              <c:y val="2.5259701467282188E-2"/>
            </c:manualLayout>
          </c:layout>
          <c:overlay val="0"/>
        </c:title>
        <c:numFmt formatCode="#.##0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74789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2x1000 intermediate vs gre'!$S$48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gre'!$S$49:$S$55</c:f>
              <c:numCache>
                <c:formatCode>General</c:formatCode>
                <c:ptCount val="7"/>
                <c:pt idx="0">
                  <c:v>6128.0000000000073</c:v>
                </c:pt>
                <c:pt idx="1">
                  <c:v>5546.6958543806668</c:v>
                </c:pt>
                <c:pt idx="2">
                  <c:v>5536.2979125808133</c:v>
                </c:pt>
                <c:pt idx="3">
                  <c:v>5536.2979125808142</c:v>
                </c:pt>
                <c:pt idx="4">
                  <c:v>5590.3068066980468</c:v>
                </c:pt>
                <c:pt idx="5">
                  <c:v>6128</c:v>
                </c:pt>
                <c:pt idx="6">
                  <c:v>6128.0000000000018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gre'!$M$49:$M$55</c:f>
              <c:numCache>
                <c:formatCode>General</c:formatCode>
                <c:ptCount val="7"/>
                <c:pt idx="0">
                  <c:v>4405.1436555891241</c:v>
                </c:pt>
                <c:pt idx="1">
                  <c:v>6123.9999999999991</c:v>
                </c:pt>
                <c:pt idx="2">
                  <c:v>3902.7016616314195</c:v>
                </c:pt>
                <c:pt idx="3">
                  <c:v>3609.6104984894259</c:v>
                </c:pt>
                <c:pt idx="4">
                  <c:v>4237.6629909365556</c:v>
                </c:pt>
                <c:pt idx="5">
                  <c:v>4405.1436555891241</c:v>
                </c:pt>
                <c:pt idx="6">
                  <c:v>4400.1654631419915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gre'!$N$49:$N$55</c:f>
              <c:numCache>
                <c:formatCode>General</c:formatCode>
                <c:ptCount val="7"/>
                <c:pt idx="0">
                  <c:v>8333.1413897280963</c:v>
                </c:pt>
                <c:pt idx="1">
                  <c:v>8026.0247734138966</c:v>
                </c:pt>
                <c:pt idx="2">
                  <c:v>11503.999999999985</c:v>
                </c:pt>
                <c:pt idx="3">
                  <c:v>6874.3374622356496</c:v>
                </c:pt>
                <c:pt idx="4">
                  <c:v>8026.0247734138966</c:v>
                </c:pt>
                <c:pt idx="5">
                  <c:v>8333.1413897280963</c:v>
                </c:pt>
                <c:pt idx="6">
                  <c:v>8256.3622356495453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gre'!$O$49:$O$55</c:f>
              <c:numCache>
                <c:formatCode>General</c:formatCode>
                <c:ptCount val="7"/>
                <c:pt idx="0">
                  <c:v>7115.6127818731056</c:v>
                </c:pt>
                <c:pt idx="1">
                  <c:v>6602.1914652567975</c:v>
                </c:pt>
                <c:pt idx="2">
                  <c:v>5776.8288330385367</c:v>
                </c:pt>
                <c:pt idx="3">
                  <c:v>11067.884308869336</c:v>
                </c:pt>
                <c:pt idx="4">
                  <c:v>6602.1914652567975</c:v>
                </c:pt>
                <c:pt idx="5">
                  <c:v>7095.6050024169199</c:v>
                </c:pt>
                <c:pt idx="6">
                  <c:v>7040.9006797583079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gre'!$P$49:$P$55</c:f>
              <c:numCache>
                <c:formatCode>General</c:formatCode>
                <c:ptCount val="7"/>
                <c:pt idx="0">
                  <c:v>1617.5895015105741</c:v>
                </c:pt>
                <c:pt idx="1">
                  <c:v>1387.2439577039277</c:v>
                </c:pt>
                <c:pt idx="2">
                  <c:v>1018.6910876132931</c:v>
                </c:pt>
                <c:pt idx="3">
                  <c:v>696.20732628398787</c:v>
                </c:pt>
                <c:pt idx="4">
                  <c:v>3219.9999999999973</c:v>
                </c:pt>
                <c:pt idx="5">
                  <c:v>1617.5895015105741</c:v>
                </c:pt>
                <c:pt idx="6">
                  <c:v>1571.5203927492448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gre'!$R$49:$R$55</c:f>
              <c:numCache>
                <c:formatCode>General</c:formatCode>
                <c:ptCount val="7"/>
                <c:pt idx="0">
                  <c:v>507.99222054380664</c:v>
                </c:pt>
                <c:pt idx="1">
                  <c:v>502.17545317220538</c:v>
                </c:pt>
                <c:pt idx="2">
                  <c:v>490.54191842900298</c:v>
                </c:pt>
                <c:pt idx="3">
                  <c:v>480.36257552870086</c:v>
                </c:pt>
                <c:pt idx="4">
                  <c:v>502.17545317220538</c:v>
                </c:pt>
                <c:pt idx="5">
                  <c:v>528</c:v>
                </c:pt>
                <c:pt idx="6">
                  <c:v>506.53802870090635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gre'!$Q$49:$Q$55</c:f>
              <c:numCache>
                <c:formatCode>General</c:formatCode>
                <c:ptCount val="7"/>
                <c:pt idx="0">
                  <c:v>468.00725075528698</c:v>
                </c:pt>
                <c:pt idx="1">
                  <c:v>447.64229607250752</c:v>
                </c:pt>
                <c:pt idx="2">
                  <c:v>406.91238670694861</c:v>
                </c:pt>
                <c:pt idx="3">
                  <c:v>371.27371601208461</c:v>
                </c:pt>
                <c:pt idx="4">
                  <c:v>447.64229607250752</c:v>
                </c:pt>
                <c:pt idx="5">
                  <c:v>468.00725075528698</c:v>
                </c:pt>
                <c:pt idx="6">
                  <c:v>672.00000000000068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727168"/>
        <c:axId val="174728704"/>
      </c:barChart>
      <c:catAx>
        <c:axId val="17472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4728704"/>
        <c:crosses val="autoZero"/>
        <c:auto val="1"/>
        <c:lblAlgn val="ctr"/>
        <c:lblOffset val="100"/>
        <c:noMultiLvlLbl val="0"/>
      </c:catAx>
      <c:valAx>
        <c:axId val="17472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727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'stg 2x1000 intermediate vs gre'!$S$48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gre'!$S$49:$S$55</c:f>
              <c:numCache>
                <c:formatCode>General</c:formatCode>
                <c:ptCount val="7"/>
                <c:pt idx="0">
                  <c:v>6128.0000000000073</c:v>
                </c:pt>
                <c:pt idx="1">
                  <c:v>5546.6958543806668</c:v>
                </c:pt>
                <c:pt idx="2">
                  <c:v>5536.2979125808133</c:v>
                </c:pt>
                <c:pt idx="3">
                  <c:v>5536.2979125808142</c:v>
                </c:pt>
                <c:pt idx="4">
                  <c:v>5590.3068066980468</c:v>
                </c:pt>
                <c:pt idx="5">
                  <c:v>6128</c:v>
                </c:pt>
                <c:pt idx="6">
                  <c:v>6128.0000000000018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gre'!$M$49:$M$55</c:f>
              <c:numCache>
                <c:formatCode>General</c:formatCode>
                <c:ptCount val="7"/>
                <c:pt idx="0">
                  <c:v>4405.1436555891241</c:v>
                </c:pt>
                <c:pt idx="1">
                  <c:v>6123.9999999999991</c:v>
                </c:pt>
                <c:pt idx="2">
                  <c:v>3902.7016616314195</c:v>
                </c:pt>
                <c:pt idx="3">
                  <c:v>3609.6104984894259</c:v>
                </c:pt>
                <c:pt idx="4">
                  <c:v>4237.6629909365556</c:v>
                </c:pt>
                <c:pt idx="5">
                  <c:v>4405.1436555891241</c:v>
                </c:pt>
                <c:pt idx="6">
                  <c:v>4400.1654631419915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gre'!$N$49:$N$55</c:f>
              <c:numCache>
                <c:formatCode>General</c:formatCode>
                <c:ptCount val="7"/>
                <c:pt idx="0">
                  <c:v>8333.1413897280963</c:v>
                </c:pt>
                <c:pt idx="1">
                  <c:v>8026.0247734138966</c:v>
                </c:pt>
                <c:pt idx="2">
                  <c:v>11503.999999999985</c:v>
                </c:pt>
                <c:pt idx="3">
                  <c:v>6874.3374622356496</c:v>
                </c:pt>
                <c:pt idx="4">
                  <c:v>8026.0247734138966</c:v>
                </c:pt>
                <c:pt idx="5">
                  <c:v>8333.1413897280963</c:v>
                </c:pt>
                <c:pt idx="6">
                  <c:v>8256.3622356495453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gre'!$O$49:$O$55</c:f>
              <c:numCache>
                <c:formatCode>General</c:formatCode>
                <c:ptCount val="7"/>
                <c:pt idx="0">
                  <c:v>7115.6127818731056</c:v>
                </c:pt>
                <c:pt idx="1">
                  <c:v>6602.1914652567975</c:v>
                </c:pt>
                <c:pt idx="2">
                  <c:v>5776.8288330385367</c:v>
                </c:pt>
                <c:pt idx="3">
                  <c:v>11067.884308869336</c:v>
                </c:pt>
                <c:pt idx="4">
                  <c:v>6602.1914652567975</c:v>
                </c:pt>
                <c:pt idx="5">
                  <c:v>7095.6050024169199</c:v>
                </c:pt>
                <c:pt idx="6">
                  <c:v>7040.9006797583079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gre'!$P$49:$P$55</c:f>
              <c:numCache>
                <c:formatCode>General</c:formatCode>
                <c:ptCount val="7"/>
                <c:pt idx="0">
                  <c:v>1617.5895015105741</c:v>
                </c:pt>
                <c:pt idx="1">
                  <c:v>1387.2439577039277</c:v>
                </c:pt>
                <c:pt idx="2">
                  <c:v>1018.6910876132931</c:v>
                </c:pt>
                <c:pt idx="3">
                  <c:v>696.20732628398787</c:v>
                </c:pt>
                <c:pt idx="4">
                  <c:v>3219.9999999999973</c:v>
                </c:pt>
                <c:pt idx="5">
                  <c:v>1617.5895015105741</c:v>
                </c:pt>
                <c:pt idx="6">
                  <c:v>1571.5203927492448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gre'!$R$49:$R$55</c:f>
              <c:numCache>
                <c:formatCode>General</c:formatCode>
                <c:ptCount val="7"/>
                <c:pt idx="0">
                  <c:v>507.99222054380664</c:v>
                </c:pt>
                <c:pt idx="1">
                  <c:v>502.17545317220538</c:v>
                </c:pt>
                <c:pt idx="2">
                  <c:v>490.54191842900298</c:v>
                </c:pt>
                <c:pt idx="3">
                  <c:v>480.36257552870086</c:v>
                </c:pt>
                <c:pt idx="4">
                  <c:v>502.17545317220538</c:v>
                </c:pt>
                <c:pt idx="5">
                  <c:v>528</c:v>
                </c:pt>
                <c:pt idx="6">
                  <c:v>506.53802870090635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gre'!$Q$49:$Q$55</c:f>
              <c:numCache>
                <c:formatCode>General</c:formatCode>
                <c:ptCount val="7"/>
                <c:pt idx="0">
                  <c:v>468.00725075528698</c:v>
                </c:pt>
                <c:pt idx="1">
                  <c:v>447.64229607250752</c:v>
                </c:pt>
                <c:pt idx="2">
                  <c:v>406.91238670694861</c:v>
                </c:pt>
                <c:pt idx="3">
                  <c:v>371.27371601208461</c:v>
                </c:pt>
                <c:pt idx="4">
                  <c:v>447.64229607250752</c:v>
                </c:pt>
                <c:pt idx="5">
                  <c:v>468.00725075528698</c:v>
                </c:pt>
                <c:pt idx="6">
                  <c:v>672.00000000000068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765952"/>
        <c:axId val="174767488"/>
      </c:barChart>
      <c:catAx>
        <c:axId val="17476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767488"/>
        <c:crosses val="autoZero"/>
        <c:auto val="1"/>
        <c:lblAlgn val="ctr"/>
        <c:lblOffset val="100"/>
        <c:noMultiLvlLbl val="0"/>
      </c:catAx>
      <c:valAx>
        <c:axId val="1747674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476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2953240120534975E-2"/>
          <c:h val="0.4039598737681160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3045071348894975E-2"/>
          <c:y val="7.0666705522022796E-2"/>
          <c:w val="0.89044814282777951"/>
          <c:h val="0.846369851037732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'stg 2x1000 intermediate vs gre'!$S$48</c:f>
              <c:strCache>
                <c:ptCount val="1"/>
                <c:pt idx="0">
                  <c:v>NP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gre'!$S$56:$S$62</c:f>
              <c:numCache>
                <c:formatCode>General</c:formatCode>
                <c:ptCount val="7"/>
                <c:pt idx="0">
                  <c:v>6128.0000000000027</c:v>
                </c:pt>
                <c:pt idx="1">
                  <c:v>6128.0000000000073</c:v>
                </c:pt>
                <c:pt idx="2">
                  <c:v>6128.0000000000027</c:v>
                </c:pt>
                <c:pt idx="3">
                  <c:v>6128.0000000000073</c:v>
                </c:pt>
                <c:pt idx="4">
                  <c:v>6128.0000000000082</c:v>
                </c:pt>
                <c:pt idx="5">
                  <c:v>6128.0000000000027</c:v>
                </c:pt>
                <c:pt idx="6">
                  <c:v>6128.0000000000018</c:v>
                </c:pt>
              </c:numCache>
            </c:numRef>
          </c:val>
        </c:ser>
        <c:ser>
          <c:idx val="0"/>
          <c:order val="1"/>
          <c:tx>
            <c:strRef>
              <c:f>'stg 2x1000 intermediate vs gre'!$M$48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gre'!$M$56:$M$62</c:f>
              <c:numCache>
                <c:formatCode>General</c:formatCode>
                <c:ptCount val="7"/>
                <c:pt idx="0">
                  <c:v>5089.2924710424713</c:v>
                </c:pt>
                <c:pt idx="1">
                  <c:v>6123.9999999999991</c:v>
                </c:pt>
                <c:pt idx="2">
                  <c:v>4714.7242277992282</c:v>
                </c:pt>
                <c:pt idx="3">
                  <c:v>4500.6852316602317</c:v>
                </c:pt>
                <c:pt idx="4">
                  <c:v>4928.7632239382237</c:v>
                </c:pt>
                <c:pt idx="5">
                  <c:v>5089.2924710424713</c:v>
                </c:pt>
                <c:pt idx="6">
                  <c:v>5062.2115152123506</c:v>
                </c:pt>
              </c:numCache>
            </c:numRef>
          </c:val>
        </c:ser>
        <c:ser>
          <c:idx val="1"/>
          <c:order val="2"/>
          <c:tx>
            <c:strRef>
              <c:f>'stg 2x1000 intermediate vs gre'!$N$48</c:f>
              <c:strCache>
                <c:ptCount val="1"/>
                <c:pt idx="0">
                  <c:v>RU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gre'!$N$56:$N$62</c:f>
              <c:numCache>
                <c:formatCode>General</c:formatCode>
                <c:ptCount val="7"/>
                <c:pt idx="0">
                  <c:v>9583.2939476447827</c:v>
                </c:pt>
                <c:pt idx="1">
                  <c:v>9293.3254826254815</c:v>
                </c:pt>
                <c:pt idx="2">
                  <c:v>11504.000000000002</c:v>
                </c:pt>
                <c:pt idx="3">
                  <c:v>8535.4004746718092</c:v>
                </c:pt>
                <c:pt idx="4">
                  <c:v>9312.0401111567116</c:v>
                </c:pt>
                <c:pt idx="5">
                  <c:v>9575.878407104241</c:v>
                </c:pt>
                <c:pt idx="6">
                  <c:v>9489.5718146718136</c:v>
                </c:pt>
              </c:numCache>
            </c:numRef>
          </c:val>
        </c:ser>
        <c:ser>
          <c:idx val="2"/>
          <c:order val="3"/>
          <c:tx>
            <c:strRef>
              <c:f>'stg 2x1000 intermediate vs gre'!$O$48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gre'!$O$56:$O$62</c:f>
              <c:numCache>
                <c:formatCode>General</c:formatCode>
                <c:ptCount val="7"/>
                <c:pt idx="0">
                  <c:v>8833.0024131274131</c:v>
                </c:pt>
                <c:pt idx="1">
                  <c:v>8412.1389109652464</c:v>
                </c:pt>
                <c:pt idx="2">
                  <c:v>7851.835183397684</c:v>
                </c:pt>
                <c:pt idx="3">
                  <c:v>11210</c:v>
                </c:pt>
                <c:pt idx="4">
                  <c:v>8450.9295913143214</c:v>
                </c:pt>
                <c:pt idx="5">
                  <c:v>8833.0024131274131</c:v>
                </c:pt>
                <c:pt idx="6">
                  <c:v>8833.0024131274131</c:v>
                </c:pt>
              </c:numCache>
            </c:numRef>
          </c:val>
        </c:ser>
        <c:ser>
          <c:idx val="3"/>
          <c:order val="4"/>
          <c:tx>
            <c:strRef>
              <c:f>'stg 2x1000 intermediate vs gre'!$P$48</c:f>
              <c:strCache>
                <c:ptCount val="1"/>
                <c:pt idx="0">
                  <c:v>DZ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gre'!$P$56:$P$62</c:f>
              <c:numCache>
                <c:formatCode>General</c:formatCode>
                <c:ptCount val="7"/>
                <c:pt idx="0">
                  <c:v>2324.278957528958</c:v>
                </c:pt>
                <c:pt idx="1">
                  <c:v>2088.7750965250971</c:v>
                </c:pt>
                <c:pt idx="2">
                  <c:v>1877.4232256370578</c:v>
                </c:pt>
                <c:pt idx="3">
                  <c:v>1725.1335135135137</c:v>
                </c:pt>
                <c:pt idx="4">
                  <c:v>3220.0000000000009</c:v>
                </c:pt>
                <c:pt idx="5">
                  <c:v>2324.278957528958</c:v>
                </c:pt>
                <c:pt idx="6">
                  <c:v>2324.278957528958</c:v>
                </c:pt>
              </c:numCache>
            </c:numRef>
          </c:val>
        </c:ser>
        <c:ser>
          <c:idx val="4"/>
          <c:order val="5"/>
          <c:tx>
            <c:strRef>
              <c:f>'stg 2x1000 intermediate vs gre'!$R$48</c:f>
              <c:strCache>
                <c:ptCount val="1"/>
                <c:pt idx="0">
                  <c:v>AZ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'stg 2x1000 intermediate vs gre'!$F$49:$F$55</c:f>
              <c:strCache>
                <c:ptCount val="7"/>
                <c:pt idx="0">
                  <c:v>Ref</c:v>
                </c:pt>
                <c:pt idx="1">
                  <c:v>Cheap NO ramp</c:v>
                </c:pt>
                <c:pt idx="2">
                  <c:v>Cheap RU ramp</c:v>
                </c:pt>
                <c:pt idx="3">
                  <c:v>Cheap LNG ramp</c:v>
                </c:pt>
                <c:pt idx="4">
                  <c:v>Cheap DZ ramp</c:v>
                </c:pt>
                <c:pt idx="5">
                  <c:v>Cheap AZ ramp</c:v>
                </c:pt>
                <c:pt idx="6">
                  <c:v>Cheap LY ramp</c:v>
                </c:pt>
              </c:strCache>
            </c:strRef>
          </c:cat>
          <c:val>
            <c:numRef>
              <c:f>'stg 2x1000 intermediate vs gre'!$R$56:$R$62</c:f>
              <c:numCache>
                <c:formatCode>General</c:formatCode>
                <c:ptCount val="7"/>
                <c:pt idx="0">
                  <c:v>520.58445945945937</c:v>
                </c:pt>
                <c:pt idx="1">
                  <c:v>518.72601351351352</c:v>
                </c:pt>
                <c:pt idx="2">
                  <c:v>515.0091216216216</c:v>
                </c:pt>
                <c:pt idx="3">
                  <c:v>511.29222972972968</c:v>
                </c:pt>
                <c:pt idx="4">
                  <c:v>518.72601351351352</c:v>
                </c:pt>
                <c:pt idx="5">
                  <c:v>528</c:v>
                </c:pt>
                <c:pt idx="6">
                  <c:v>520.58445945945937</c:v>
                </c:pt>
              </c:numCache>
            </c:numRef>
          </c:val>
        </c:ser>
        <c:ser>
          <c:idx val="6"/>
          <c:order val="6"/>
          <c:tx>
            <c:strRef>
              <c:f>'stg 2x1000 intermediate vs gre'!$Q$48</c:f>
              <c:strCache>
                <c:ptCount val="1"/>
                <c:pt idx="0">
                  <c:v>LY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'stg 2x1000 intermediate vs gre'!$Q$56:$Q$62</c:f>
              <c:numCache>
                <c:formatCode>General</c:formatCode>
                <c:ptCount val="7"/>
                <c:pt idx="0">
                  <c:v>551.19691119691106</c:v>
                </c:pt>
                <c:pt idx="1">
                  <c:v>525.17065637065639</c:v>
                </c:pt>
                <c:pt idx="2">
                  <c:v>499.14440154440149</c:v>
                </c:pt>
                <c:pt idx="3">
                  <c:v>479.62471042471043</c:v>
                </c:pt>
                <c:pt idx="4">
                  <c:v>531.67722007722</c:v>
                </c:pt>
                <c:pt idx="5">
                  <c:v>551.19691119691106</c:v>
                </c:pt>
                <c:pt idx="6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018368"/>
        <c:axId val="175019904"/>
      </c:barChart>
      <c:catAx>
        <c:axId val="17501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019904"/>
        <c:crosses val="autoZero"/>
        <c:auto val="1"/>
        <c:lblAlgn val="ctr"/>
        <c:lblOffset val="100"/>
        <c:noMultiLvlLbl val="0"/>
      </c:catAx>
      <c:valAx>
        <c:axId val="175019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01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97105566604123"/>
          <c:y val="0.32687433981366454"/>
          <c:w val="4.3404667157940488E-2"/>
          <c:h val="0.398231273628367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26" Type="http://schemas.openxmlformats.org/officeDocument/2006/relationships/chart" Target="../charts/chart53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5" Type="http://schemas.openxmlformats.org/officeDocument/2006/relationships/chart" Target="../charts/chart52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24" Type="http://schemas.openxmlformats.org/officeDocument/2006/relationships/chart" Target="../charts/chart51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chart" Target="../charts/chart50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Relationship Id="rId27" Type="http://schemas.openxmlformats.org/officeDocument/2006/relationships/chart" Target="../charts/chart5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chart" Target="../charts/chart67.xml"/><Relationship Id="rId18" Type="http://schemas.openxmlformats.org/officeDocument/2006/relationships/chart" Target="../charts/chart72.xml"/><Relationship Id="rId26" Type="http://schemas.openxmlformats.org/officeDocument/2006/relationships/chart" Target="../charts/chart80.xml"/><Relationship Id="rId3" Type="http://schemas.openxmlformats.org/officeDocument/2006/relationships/chart" Target="../charts/chart57.xml"/><Relationship Id="rId21" Type="http://schemas.openxmlformats.org/officeDocument/2006/relationships/chart" Target="../charts/chart75.xml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17" Type="http://schemas.openxmlformats.org/officeDocument/2006/relationships/chart" Target="../charts/chart71.xml"/><Relationship Id="rId25" Type="http://schemas.openxmlformats.org/officeDocument/2006/relationships/chart" Target="../charts/chart79.xml"/><Relationship Id="rId2" Type="http://schemas.openxmlformats.org/officeDocument/2006/relationships/chart" Target="../charts/chart56.xml"/><Relationship Id="rId16" Type="http://schemas.openxmlformats.org/officeDocument/2006/relationships/chart" Target="../charts/chart70.xml"/><Relationship Id="rId20" Type="http://schemas.openxmlformats.org/officeDocument/2006/relationships/chart" Target="../charts/chart74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24" Type="http://schemas.openxmlformats.org/officeDocument/2006/relationships/chart" Target="../charts/chart78.xml"/><Relationship Id="rId5" Type="http://schemas.openxmlformats.org/officeDocument/2006/relationships/chart" Target="../charts/chart59.xml"/><Relationship Id="rId15" Type="http://schemas.openxmlformats.org/officeDocument/2006/relationships/chart" Target="../charts/chart69.xml"/><Relationship Id="rId23" Type="http://schemas.openxmlformats.org/officeDocument/2006/relationships/chart" Target="../charts/chart77.xml"/><Relationship Id="rId10" Type="http://schemas.openxmlformats.org/officeDocument/2006/relationships/chart" Target="../charts/chart64.xml"/><Relationship Id="rId19" Type="http://schemas.openxmlformats.org/officeDocument/2006/relationships/chart" Target="../charts/chart73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Relationship Id="rId14" Type="http://schemas.openxmlformats.org/officeDocument/2006/relationships/chart" Target="../charts/chart68.xml"/><Relationship Id="rId22" Type="http://schemas.openxmlformats.org/officeDocument/2006/relationships/chart" Target="../charts/chart76.xml"/><Relationship Id="rId27" Type="http://schemas.openxmlformats.org/officeDocument/2006/relationships/chart" Target="../charts/chart8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13" Type="http://schemas.openxmlformats.org/officeDocument/2006/relationships/chart" Target="../charts/chart94.xml"/><Relationship Id="rId18" Type="http://schemas.openxmlformats.org/officeDocument/2006/relationships/chart" Target="../charts/chart99.xml"/><Relationship Id="rId26" Type="http://schemas.openxmlformats.org/officeDocument/2006/relationships/chart" Target="../charts/chart107.xml"/><Relationship Id="rId3" Type="http://schemas.openxmlformats.org/officeDocument/2006/relationships/chart" Target="../charts/chart84.xml"/><Relationship Id="rId21" Type="http://schemas.openxmlformats.org/officeDocument/2006/relationships/chart" Target="../charts/chart102.xml"/><Relationship Id="rId7" Type="http://schemas.openxmlformats.org/officeDocument/2006/relationships/chart" Target="../charts/chart88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5" Type="http://schemas.openxmlformats.org/officeDocument/2006/relationships/chart" Target="../charts/chart106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20" Type="http://schemas.openxmlformats.org/officeDocument/2006/relationships/chart" Target="../charts/chart101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24" Type="http://schemas.openxmlformats.org/officeDocument/2006/relationships/chart" Target="../charts/chart105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23" Type="http://schemas.openxmlformats.org/officeDocument/2006/relationships/chart" Target="../charts/chart104.xml"/><Relationship Id="rId10" Type="http://schemas.openxmlformats.org/officeDocument/2006/relationships/chart" Target="../charts/chart91.xml"/><Relationship Id="rId19" Type="http://schemas.openxmlformats.org/officeDocument/2006/relationships/chart" Target="../charts/chart100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Relationship Id="rId22" Type="http://schemas.openxmlformats.org/officeDocument/2006/relationships/chart" Target="../charts/chart103.xml"/><Relationship Id="rId27" Type="http://schemas.openxmlformats.org/officeDocument/2006/relationships/chart" Target="../charts/chart10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112566</xdr:colOff>
      <xdr:row>64</xdr:row>
      <xdr:rowOff>178377</xdr:rowOff>
    </xdr:from>
    <xdr:to>
      <xdr:col>26</xdr:col>
      <xdr:colOff>138545</xdr:colOff>
      <xdr:row>87</xdr:row>
      <xdr:rowOff>51955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500063</xdr:colOff>
      <xdr:row>64</xdr:row>
      <xdr:rowOff>166687</xdr:rowOff>
    </xdr:from>
    <xdr:to>
      <xdr:col>48</xdr:col>
      <xdr:colOff>162360</xdr:colOff>
      <xdr:row>87</xdr:row>
      <xdr:rowOff>40265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357187</xdr:colOff>
      <xdr:row>65</xdr:row>
      <xdr:rowOff>47625</xdr:rowOff>
    </xdr:from>
    <xdr:to>
      <xdr:col>70</xdr:col>
      <xdr:colOff>19484</xdr:colOff>
      <xdr:row>87</xdr:row>
      <xdr:rowOff>111703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70</xdr:col>
      <xdr:colOff>337704</xdr:colOff>
      <xdr:row>65</xdr:row>
      <xdr:rowOff>112568</xdr:rowOff>
    </xdr:from>
    <xdr:to>
      <xdr:col>92</xdr:col>
      <xdr:colOff>1</xdr:colOff>
      <xdr:row>87</xdr:row>
      <xdr:rowOff>176646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92</xdr:col>
      <xdr:colOff>372340</xdr:colOff>
      <xdr:row>65</xdr:row>
      <xdr:rowOff>86591</xdr:rowOff>
    </xdr:from>
    <xdr:to>
      <xdr:col>114</xdr:col>
      <xdr:colOff>34637</xdr:colOff>
      <xdr:row>87</xdr:row>
      <xdr:rowOff>150669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114</xdr:col>
      <xdr:colOff>554181</xdr:colOff>
      <xdr:row>65</xdr:row>
      <xdr:rowOff>95250</xdr:rowOff>
    </xdr:from>
    <xdr:to>
      <xdr:col>136</xdr:col>
      <xdr:colOff>216478</xdr:colOff>
      <xdr:row>87</xdr:row>
      <xdr:rowOff>159328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136</xdr:col>
      <xdr:colOff>476250</xdr:colOff>
      <xdr:row>65</xdr:row>
      <xdr:rowOff>95250</xdr:rowOff>
    </xdr:from>
    <xdr:to>
      <xdr:col>158</xdr:col>
      <xdr:colOff>138547</xdr:colOff>
      <xdr:row>87</xdr:row>
      <xdr:rowOff>159328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158</xdr:col>
      <xdr:colOff>381000</xdr:colOff>
      <xdr:row>65</xdr:row>
      <xdr:rowOff>95250</xdr:rowOff>
    </xdr:from>
    <xdr:to>
      <xdr:col>180</xdr:col>
      <xdr:colOff>43297</xdr:colOff>
      <xdr:row>87</xdr:row>
      <xdr:rowOff>159328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166687</xdr:colOff>
      <xdr:row>88</xdr:row>
      <xdr:rowOff>119063</xdr:rowOff>
    </xdr:from>
    <xdr:to>
      <xdr:col>26</xdr:col>
      <xdr:colOff>281421</xdr:colOff>
      <xdr:row>110</xdr:row>
      <xdr:rowOff>183141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48</xdr:col>
      <xdr:colOff>424297</xdr:colOff>
      <xdr:row>111</xdr:row>
      <xdr:rowOff>64078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299356</xdr:colOff>
      <xdr:row>88</xdr:row>
      <xdr:rowOff>176893</xdr:rowOff>
    </xdr:from>
    <xdr:to>
      <xdr:col>69</xdr:col>
      <xdr:colOff>723653</xdr:colOff>
      <xdr:row>111</xdr:row>
      <xdr:rowOff>50471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70</xdr:col>
      <xdr:colOff>312964</xdr:colOff>
      <xdr:row>89</xdr:row>
      <xdr:rowOff>0</xdr:rowOff>
    </xdr:from>
    <xdr:to>
      <xdr:col>91</xdr:col>
      <xdr:colOff>737261</xdr:colOff>
      <xdr:row>111</xdr:row>
      <xdr:rowOff>64078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92</xdr:col>
      <xdr:colOff>266700</xdr:colOff>
      <xdr:row>89</xdr:row>
      <xdr:rowOff>0</xdr:rowOff>
    </xdr:from>
    <xdr:to>
      <xdr:col>113</xdr:col>
      <xdr:colOff>690997</xdr:colOff>
      <xdr:row>111</xdr:row>
      <xdr:rowOff>64078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115</xdr:col>
      <xdr:colOff>0</xdr:colOff>
      <xdr:row>89</xdr:row>
      <xdr:rowOff>0</xdr:rowOff>
    </xdr:from>
    <xdr:to>
      <xdr:col>136</xdr:col>
      <xdr:colOff>424297</xdr:colOff>
      <xdr:row>111</xdr:row>
      <xdr:rowOff>64078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137</xdr:col>
      <xdr:colOff>0</xdr:colOff>
      <xdr:row>89</xdr:row>
      <xdr:rowOff>0</xdr:rowOff>
    </xdr:from>
    <xdr:to>
      <xdr:col>158</xdr:col>
      <xdr:colOff>424297</xdr:colOff>
      <xdr:row>111</xdr:row>
      <xdr:rowOff>64078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140275</xdr:colOff>
      <xdr:row>119</xdr:row>
      <xdr:rowOff>126421</xdr:rowOff>
    </xdr:from>
    <xdr:to>
      <xdr:col>26</xdr:col>
      <xdr:colOff>218208</xdr:colOff>
      <xdr:row>151</xdr:row>
      <xdr:rowOff>138545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166254</xdr:colOff>
      <xdr:row>152</xdr:row>
      <xdr:rowOff>173182</xdr:rowOff>
    </xdr:from>
    <xdr:to>
      <xdr:col>26</xdr:col>
      <xdr:colOff>244187</xdr:colOff>
      <xdr:row>184</xdr:row>
      <xdr:rowOff>185306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685800</xdr:colOff>
      <xdr:row>121</xdr:row>
      <xdr:rowOff>0</xdr:rowOff>
    </xdr:from>
    <xdr:to>
      <xdr:col>48</xdr:col>
      <xdr:colOff>400051</xdr:colOff>
      <xdr:row>153</xdr:row>
      <xdr:rowOff>12124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685800</xdr:colOff>
      <xdr:row>154</xdr:row>
      <xdr:rowOff>0</xdr:rowOff>
    </xdr:from>
    <xdr:to>
      <xdr:col>48</xdr:col>
      <xdr:colOff>400051</xdr:colOff>
      <xdr:row>186</xdr:row>
      <xdr:rowOff>12124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27214</xdr:colOff>
      <xdr:row>156</xdr:row>
      <xdr:rowOff>51707</xdr:rowOff>
    </xdr:from>
    <xdr:to>
      <xdr:col>93</xdr:col>
      <xdr:colOff>414710</xdr:colOff>
      <xdr:row>186</xdr:row>
      <xdr:rowOff>159081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50</xdr:col>
      <xdr:colOff>40821</xdr:colOff>
      <xdr:row>121</xdr:row>
      <xdr:rowOff>27214</xdr:rowOff>
    </xdr:from>
    <xdr:to>
      <xdr:col>71</xdr:col>
      <xdr:colOff>428317</xdr:colOff>
      <xdr:row>153</xdr:row>
      <xdr:rowOff>39338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72</xdr:col>
      <xdr:colOff>71438</xdr:colOff>
      <xdr:row>121</xdr:row>
      <xdr:rowOff>71437</xdr:rowOff>
    </xdr:from>
    <xdr:to>
      <xdr:col>93</xdr:col>
      <xdr:colOff>458934</xdr:colOff>
      <xdr:row>153</xdr:row>
      <xdr:rowOff>142874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675409</xdr:colOff>
      <xdr:row>154</xdr:row>
      <xdr:rowOff>121228</xdr:rowOff>
    </xdr:from>
    <xdr:to>
      <xdr:col>71</xdr:col>
      <xdr:colOff>300905</xdr:colOff>
      <xdr:row>187</xdr:row>
      <xdr:rowOff>185307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95</xdr:col>
      <xdr:colOff>127412</xdr:colOff>
      <xdr:row>121</xdr:row>
      <xdr:rowOff>0</xdr:rowOff>
    </xdr:from>
    <xdr:to>
      <xdr:col>116</xdr:col>
      <xdr:colOff>514908</xdr:colOff>
      <xdr:row>153</xdr:row>
      <xdr:rowOff>12124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95</xdr:col>
      <xdr:colOff>0</xdr:colOff>
      <xdr:row>154</xdr:row>
      <xdr:rowOff>94014</xdr:rowOff>
    </xdr:from>
    <xdr:to>
      <xdr:col>116</xdr:col>
      <xdr:colOff>387496</xdr:colOff>
      <xdr:row>187</xdr:row>
      <xdr:rowOff>158093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118</xdr:col>
      <xdr:colOff>0</xdr:colOff>
      <xdr:row>155</xdr:row>
      <xdr:rowOff>170770</xdr:rowOff>
    </xdr:from>
    <xdr:to>
      <xdr:col>139</xdr:col>
      <xdr:colOff>387496</xdr:colOff>
      <xdr:row>186</xdr:row>
      <xdr:rowOff>87644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118</xdr:col>
      <xdr:colOff>44224</xdr:colOff>
      <xdr:row>121</xdr:row>
      <xdr:rowOff>0</xdr:rowOff>
    </xdr:from>
    <xdr:to>
      <xdr:col>139</xdr:col>
      <xdr:colOff>431720</xdr:colOff>
      <xdr:row>153</xdr:row>
      <xdr:rowOff>71437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112566</xdr:colOff>
      <xdr:row>64</xdr:row>
      <xdr:rowOff>178377</xdr:rowOff>
    </xdr:from>
    <xdr:to>
      <xdr:col>26</xdr:col>
      <xdr:colOff>138545</xdr:colOff>
      <xdr:row>87</xdr:row>
      <xdr:rowOff>51955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500063</xdr:colOff>
      <xdr:row>64</xdr:row>
      <xdr:rowOff>166687</xdr:rowOff>
    </xdr:from>
    <xdr:to>
      <xdr:col>48</xdr:col>
      <xdr:colOff>162360</xdr:colOff>
      <xdr:row>87</xdr:row>
      <xdr:rowOff>40265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357187</xdr:colOff>
      <xdr:row>65</xdr:row>
      <xdr:rowOff>47625</xdr:rowOff>
    </xdr:from>
    <xdr:to>
      <xdr:col>70</xdr:col>
      <xdr:colOff>19484</xdr:colOff>
      <xdr:row>87</xdr:row>
      <xdr:rowOff>111703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70</xdr:col>
      <xdr:colOff>337704</xdr:colOff>
      <xdr:row>65</xdr:row>
      <xdr:rowOff>112568</xdr:rowOff>
    </xdr:from>
    <xdr:to>
      <xdr:col>92</xdr:col>
      <xdr:colOff>1</xdr:colOff>
      <xdr:row>87</xdr:row>
      <xdr:rowOff>176646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92</xdr:col>
      <xdr:colOff>372340</xdr:colOff>
      <xdr:row>65</xdr:row>
      <xdr:rowOff>86591</xdr:rowOff>
    </xdr:from>
    <xdr:to>
      <xdr:col>114</xdr:col>
      <xdr:colOff>34637</xdr:colOff>
      <xdr:row>87</xdr:row>
      <xdr:rowOff>150669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114</xdr:col>
      <xdr:colOff>554181</xdr:colOff>
      <xdr:row>65</xdr:row>
      <xdr:rowOff>95250</xdr:rowOff>
    </xdr:from>
    <xdr:to>
      <xdr:col>136</xdr:col>
      <xdr:colOff>216478</xdr:colOff>
      <xdr:row>87</xdr:row>
      <xdr:rowOff>159328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136</xdr:col>
      <xdr:colOff>476250</xdr:colOff>
      <xdr:row>65</xdr:row>
      <xdr:rowOff>95250</xdr:rowOff>
    </xdr:from>
    <xdr:to>
      <xdr:col>158</xdr:col>
      <xdr:colOff>138547</xdr:colOff>
      <xdr:row>87</xdr:row>
      <xdr:rowOff>159328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158</xdr:col>
      <xdr:colOff>381000</xdr:colOff>
      <xdr:row>65</xdr:row>
      <xdr:rowOff>95250</xdr:rowOff>
    </xdr:from>
    <xdr:to>
      <xdr:col>180</xdr:col>
      <xdr:colOff>43297</xdr:colOff>
      <xdr:row>87</xdr:row>
      <xdr:rowOff>159328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166687</xdr:colOff>
      <xdr:row>88</xdr:row>
      <xdr:rowOff>119063</xdr:rowOff>
    </xdr:from>
    <xdr:to>
      <xdr:col>26</xdr:col>
      <xdr:colOff>281421</xdr:colOff>
      <xdr:row>110</xdr:row>
      <xdr:rowOff>183141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48</xdr:col>
      <xdr:colOff>424297</xdr:colOff>
      <xdr:row>111</xdr:row>
      <xdr:rowOff>64078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299356</xdr:colOff>
      <xdr:row>88</xdr:row>
      <xdr:rowOff>176893</xdr:rowOff>
    </xdr:from>
    <xdr:to>
      <xdr:col>69</xdr:col>
      <xdr:colOff>723653</xdr:colOff>
      <xdr:row>111</xdr:row>
      <xdr:rowOff>50471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70</xdr:col>
      <xdr:colOff>312964</xdr:colOff>
      <xdr:row>89</xdr:row>
      <xdr:rowOff>0</xdr:rowOff>
    </xdr:from>
    <xdr:to>
      <xdr:col>91</xdr:col>
      <xdr:colOff>737261</xdr:colOff>
      <xdr:row>111</xdr:row>
      <xdr:rowOff>64078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92</xdr:col>
      <xdr:colOff>266700</xdr:colOff>
      <xdr:row>89</xdr:row>
      <xdr:rowOff>0</xdr:rowOff>
    </xdr:from>
    <xdr:to>
      <xdr:col>113</xdr:col>
      <xdr:colOff>690997</xdr:colOff>
      <xdr:row>111</xdr:row>
      <xdr:rowOff>64078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115</xdr:col>
      <xdr:colOff>0</xdr:colOff>
      <xdr:row>89</xdr:row>
      <xdr:rowOff>0</xdr:rowOff>
    </xdr:from>
    <xdr:to>
      <xdr:col>136</xdr:col>
      <xdr:colOff>424297</xdr:colOff>
      <xdr:row>111</xdr:row>
      <xdr:rowOff>64078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137</xdr:col>
      <xdr:colOff>0</xdr:colOff>
      <xdr:row>89</xdr:row>
      <xdr:rowOff>0</xdr:rowOff>
    </xdr:from>
    <xdr:to>
      <xdr:col>158</xdr:col>
      <xdr:colOff>424297</xdr:colOff>
      <xdr:row>111</xdr:row>
      <xdr:rowOff>64078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140275</xdr:colOff>
      <xdr:row>119</xdr:row>
      <xdr:rowOff>126421</xdr:rowOff>
    </xdr:from>
    <xdr:to>
      <xdr:col>26</xdr:col>
      <xdr:colOff>218208</xdr:colOff>
      <xdr:row>151</xdr:row>
      <xdr:rowOff>138545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166254</xdr:colOff>
      <xdr:row>152</xdr:row>
      <xdr:rowOff>173182</xdr:rowOff>
    </xdr:from>
    <xdr:to>
      <xdr:col>26</xdr:col>
      <xdr:colOff>244187</xdr:colOff>
      <xdr:row>184</xdr:row>
      <xdr:rowOff>185306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685800</xdr:colOff>
      <xdr:row>121</xdr:row>
      <xdr:rowOff>0</xdr:rowOff>
    </xdr:from>
    <xdr:to>
      <xdr:col>48</xdr:col>
      <xdr:colOff>400051</xdr:colOff>
      <xdr:row>153</xdr:row>
      <xdr:rowOff>12124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685800</xdr:colOff>
      <xdr:row>154</xdr:row>
      <xdr:rowOff>0</xdr:rowOff>
    </xdr:from>
    <xdr:to>
      <xdr:col>48</xdr:col>
      <xdr:colOff>400051</xdr:colOff>
      <xdr:row>186</xdr:row>
      <xdr:rowOff>12124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27214</xdr:colOff>
      <xdr:row>156</xdr:row>
      <xdr:rowOff>51707</xdr:rowOff>
    </xdr:from>
    <xdr:to>
      <xdr:col>93</xdr:col>
      <xdr:colOff>414710</xdr:colOff>
      <xdr:row>186</xdr:row>
      <xdr:rowOff>159081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50</xdr:col>
      <xdr:colOff>40821</xdr:colOff>
      <xdr:row>121</xdr:row>
      <xdr:rowOff>27214</xdr:rowOff>
    </xdr:from>
    <xdr:to>
      <xdr:col>71</xdr:col>
      <xdr:colOff>428317</xdr:colOff>
      <xdr:row>153</xdr:row>
      <xdr:rowOff>39338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72</xdr:col>
      <xdr:colOff>71438</xdr:colOff>
      <xdr:row>121</xdr:row>
      <xdr:rowOff>71437</xdr:rowOff>
    </xdr:from>
    <xdr:to>
      <xdr:col>93</xdr:col>
      <xdr:colOff>458934</xdr:colOff>
      <xdr:row>153</xdr:row>
      <xdr:rowOff>142874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675409</xdr:colOff>
      <xdr:row>154</xdr:row>
      <xdr:rowOff>121228</xdr:rowOff>
    </xdr:from>
    <xdr:to>
      <xdr:col>71</xdr:col>
      <xdr:colOff>300905</xdr:colOff>
      <xdr:row>187</xdr:row>
      <xdr:rowOff>185307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95</xdr:col>
      <xdr:colOff>127412</xdr:colOff>
      <xdr:row>121</xdr:row>
      <xdr:rowOff>0</xdr:rowOff>
    </xdr:from>
    <xdr:to>
      <xdr:col>116</xdr:col>
      <xdr:colOff>514908</xdr:colOff>
      <xdr:row>153</xdr:row>
      <xdr:rowOff>12124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95</xdr:col>
      <xdr:colOff>0</xdr:colOff>
      <xdr:row>154</xdr:row>
      <xdr:rowOff>94014</xdr:rowOff>
    </xdr:from>
    <xdr:to>
      <xdr:col>116</xdr:col>
      <xdr:colOff>387496</xdr:colOff>
      <xdr:row>187</xdr:row>
      <xdr:rowOff>158093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118</xdr:col>
      <xdr:colOff>0</xdr:colOff>
      <xdr:row>155</xdr:row>
      <xdr:rowOff>170770</xdr:rowOff>
    </xdr:from>
    <xdr:to>
      <xdr:col>139</xdr:col>
      <xdr:colOff>387496</xdr:colOff>
      <xdr:row>186</xdr:row>
      <xdr:rowOff>87644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118</xdr:col>
      <xdr:colOff>44224</xdr:colOff>
      <xdr:row>121</xdr:row>
      <xdr:rowOff>0</xdr:rowOff>
    </xdr:from>
    <xdr:to>
      <xdr:col>139</xdr:col>
      <xdr:colOff>431720</xdr:colOff>
      <xdr:row>153</xdr:row>
      <xdr:rowOff>71437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112566</xdr:colOff>
      <xdr:row>64</xdr:row>
      <xdr:rowOff>178377</xdr:rowOff>
    </xdr:from>
    <xdr:to>
      <xdr:col>26</xdr:col>
      <xdr:colOff>138545</xdr:colOff>
      <xdr:row>87</xdr:row>
      <xdr:rowOff>51955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500063</xdr:colOff>
      <xdr:row>64</xdr:row>
      <xdr:rowOff>166687</xdr:rowOff>
    </xdr:from>
    <xdr:to>
      <xdr:col>48</xdr:col>
      <xdr:colOff>162360</xdr:colOff>
      <xdr:row>87</xdr:row>
      <xdr:rowOff>40265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357187</xdr:colOff>
      <xdr:row>65</xdr:row>
      <xdr:rowOff>47625</xdr:rowOff>
    </xdr:from>
    <xdr:to>
      <xdr:col>70</xdr:col>
      <xdr:colOff>19484</xdr:colOff>
      <xdr:row>87</xdr:row>
      <xdr:rowOff>111703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70</xdr:col>
      <xdr:colOff>337704</xdr:colOff>
      <xdr:row>65</xdr:row>
      <xdr:rowOff>112568</xdr:rowOff>
    </xdr:from>
    <xdr:to>
      <xdr:col>92</xdr:col>
      <xdr:colOff>1</xdr:colOff>
      <xdr:row>87</xdr:row>
      <xdr:rowOff>176646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92</xdr:col>
      <xdr:colOff>372340</xdr:colOff>
      <xdr:row>65</xdr:row>
      <xdr:rowOff>86591</xdr:rowOff>
    </xdr:from>
    <xdr:to>
      <xdr:col>114</xdr:col>
      <xdr:colOff>34637</xdr:colOff>
      <xdr:row>87</xdr:row>
      <xdr:rowOff>150669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114</xdr:col>
      <xdr:colOff>554181</xdr:colOff>
      <xdr:row>65</xdr:row>
      <xdr:rowOff>95250</xdr:rowOff>
    </xdr:from>
    <xdr:to>
      <xdr:col>136</xdr:col>
      <xdr:colOff>216478</xdr:colOff>
      <xdr:row>87</xdr:row>
      <xdr:rowOff>159328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136</xdr:col>
      <xdr:colOff>476250</xdr:colOff>
      <xdr:row>65</xdr:row>
      <xdr:rowOff>95250</xdr:rowOff>
    </xdr:from>
    <xdr:to>
      <xdr:col>158</xdr:col>
      <xdr:colOff>138547</xdr:colOff>
      <xdr:row>87</xdr:row>
      <xdr:rowOff>159328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158</xdr:col>
      <xdr:colOff>381000</xdr:colOff>
      <xdr:row>65</xdr:row>
      <xdr:rowOff>95250</xdr:rowOff>
    </xdr:from>
    <xdr:to>
      <xdr:col>180</xdr:col>
      <xdr:colOff>43297</xdr:colOff>
      <xdr:row>87</xdr:row>
      <xdr:rowOff>159328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166687</xdr:colOff>
      <xdr:row>88</xdr:row>
      <xdr:rowOff>119063</xdr:rowOff>
    </xdr:from>
    <xdr:to>
      <xdr:col>26</xdr:col>
      <xdr:colOff>281421</xdr:colOff>
      <xdr:row>110</xdr:row>
      <xdr:rowOff>183141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48</xdr:col>
      <xdr:colOff>424297</xdr:colOff>
      <xdr:row>111</xdr:row>
      <xdr:rowOff>64078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299356</xdr:colOff>
      <xdr:row>88</xdr:row>
      <xdr:rowOff>176893</xdr:rowOff>
    </xdr:from>
    <xdr:to>
      <xdr:col>69</xdr:col>
      <xdr:colOff>723653</xdr:colOff>
      <xdr:row>111</xdr:row>
      <xdr:rowOff>50471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70</xdr:col>
      <xdr:colOff>312964</xdr:colOff>
      <xdr:row>89</xdr:row>
      <xdr:rowOff>0</xdr:rowOff>
    </xdr:from>
    <xdr:to>
      <xdr:col>91</xdr:col>
      <xdr:colOff>737261</xdr:colOff>
      <xdr:row>111</xdr:row>
      <xdr:rowOff>64078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92</xdr:col>
      <xdr:colOff>266700</xdr:colOff>
      <xdr:row>89</xdr:row>
      <xdr:rowOff>0</xdr:rowOff>
    </xdr:from>
    <xdr:to>
      <xdr:col>113</xdr:col>
      <xdr:colOff>690997</xdr:colOff>
      <xdr:row>111</xdr:row>
      <xdr:rowOff>64078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115</xdr:col>
      <xdr:colOff>0</xdr:colOff>
      <xdr:row>89</xdr:row>
      <xdr:rowOff>0</xdr:rowOff>
    </xdr:from>
    <xdr:to>
      <xdr:col>136</xdr:col>
      <xdr:colOff>424297</xdr:colOff>
      <xdr:row>111</xdr:row>
      <xdr:rowOff>64078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137</xdr:col>
      <xdr:colOff>0</xdr:colOff>
      <xdr:row>89</xdr:row>
      <xdr:rowOff>0</xdr:rowOff>
    </xdr:from>
    <xdr:to>
      <xdr:col>158</xdr:col>
      <xdr:colOff>424297</xdr:colOff>
      <xdr:row>111</xdr:row>
      <xdr:rowOff>64078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140275</xdr:colOff>
      <xdr:row>119</xdr:row>
      <xdr:rowOff>126421</xdr:rowOff>
    </xdr:from>
    <xdr:to>
      <xdr:col>26</xdr:col>
      <xdr:colOff>218208</xdr:colOff>
      <xdr:row>151</xdr:row>
      <xdr:rowOff>138545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166254</xdr:colOff>
      <xdr:row>152</xdr:row>
      <xdr:rowOff>173182</xdr:rowOff>
    </xdr:from>
    <xdr:to>
      <xdr:col>26</xdr:col>
      <xdr:colOff>244187</xdr:colOff>
      <xdr:row>184</xdr:row>
      <xdr:rowOff>185306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685800</xdr:colOff>
      <xdr:row>121</xdr:row>
      <xdr:rowOff>0</xdr:rowOff>
    </xdr:from>
    <xdr:to>
      <xdr:col>48</xdr:col>
      <xdr:colOff>400051</xdr:colOff>
      <xdr:row>153</xdr:row>
      <xdr:rowOff>12124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685800</xdr:colOff>
      <xdr:row>154</xdr:row>
      <xdr:rowOff>0</xdr:rowOff>
    </xdr:from>
    <xdr:to>
      <xdr:col>48</xdr:col>
      <xdr:colOff>400051</xdr:colOff>
      <xdr:row>186</xdr:row>
      <xdr:rowOff>12124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27214</xdr:colOff>
      <xdr:row>156</xdr:row>
      <xdr:rowOff>51707</xdr:rowOff>
    </xdr:from>
    <xdr:to>
      <xdr:col>93</xdr:col>
      <xdr:colOff>414710</xdr:colOff>
      <xdr:row>186</xdr:row>
      <xdr:rowOff>159081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50</xdr:col>
      <xdr:colOff>40821</xdr:colOff>
      <xdr:row>121</xdr:row>
      <xdr:rowOff>27214</xdr:rowOff>
    </xdr:from>
    <xdr:to>
      <xdr:col>71</xdr:col>
      <xdr:colOff>428317</xdr:colOff>
      <xdr:row>153</xdr:row>
      <xdr:rowOff>39338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72</xdr:col>
      <xdr:colOff>71438</xdr:colOff>
      <xdr:row>121</xdr:row>
      <xdr:rowOff>71437</xdr:rowOff>
    </xdr:from>
    <xdr:to>
      <xdr:col>93</xdr:col>
      <xdr:colOff>458934</xdr:colOff>
      <xdr:row>153</xdr:row>
      <xdr:rowOff>142874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675409</xdr:colOff>
      <xdr:row>154</xdr:row>
      <xdr:rowOff>121228</xdr:rowOff>
    </xdr:from>
    <xdr:to>
      <xdr:col>71</xdr:col>
      <xdr:colOff>300905</xdr:colOff>
      <xdr:row>187</xdr:row>
      <xdr:rowOff>185307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95</xdr:col>
      <xdr:colOff>127412</xdr:colOff>
      <xdr:row>121</xdr:row>
      <xdr:rowOff>0</xdr:rowOff>
    </xdr:from>
    <xdr:to>
      <xdr:col>116</xdr:col>
      <xdr:colOff>514908</xdr:colOff>
      <xdr:row>153</xdr:row>
      <xdr:rowOff>12124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95</xdr:col>
      <xdr:colOff>0</xdr:colOff>
      <xdr:row>154</xdr:row>
      <xdr:rowOff>94014</xdr:rowOff>
    </xdr:from>
    <xdr:to>
      <xdr:col>116</xdr:col>
      <xdr:colOff>387496</xdr:colOff>
      <xdr:row>187</xdr:row>
      <xdr:rowOff>158093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118</xdr:col>
      <xdr:colOff>0</xdr:colOff>
      <xdr:row>155</xdr:row>
      <xdr:rowOff>170770</xdr:rowOff>
    </xdr:from>
    <xdr:to>
      <xdr:col>139</xdr:col>
      <xdr:colOff>387496</xdr:colOff>
      <xdr:row>186</xdr:row>
      <xdr:rowOff>87644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118</xdr:col>
      <xdr:colOff>44224</xdr:colOff>
      <xdr:row>121</xdr:row>
      <xdr:rowOff>0</xdr:rowOff>
    </xdr:from>
    <xdr:to>
      <xdr:col>139</xdr:col>
      <xdr:colOff>431720</xdr:colOff>
      <xdr:row>153</xdr:row>
      <xdr:rowOff>71437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112566</xdr:colOff>
      <xdr:row>64</xdr:row>
      <xdr:rowOff>178377</xdr:rowOff>
    </xdr:from>
    <xdr:to>
      <xdr:col>26</xdr:col>
      <xdr:colOff>138545</xdr:colOff>
      <xdr:row>87</xdr:row>
      <xdr:rowOff>51955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500063</xdr:colOff>
      <xdr:row>64</xdr:row>
      <xdr:rowOff>166687</xdr:rowOff>
    </xdr:from>
    <xdr:to>
      <xdr:col>48</xdr:col>
      <xdr:colOff>162360</xdr:colOff>
      <xdr:row>87</xdr:row>
      <xdr:rowOff>40265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357187</xdr:colOff>
      <xdr:row>65</xdr:row>
      <xdr:rowOff>47625</xdr:rowOff>
    </xdr:from>
    <xdr:to>
      <xdr:col>70</xdr:col>
      <xdr:colOff>19484</xdr:colOff>
      <xdr:row>87</xdr:row>
      <xdr:rowOff>111703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70</xdr:col>
      <xdr:colOff>337704</xdr:colOff>
      <xdr:row>65</xdr:row>
      <xdr:rowOff>112568</xdr:rowOff>
    </xdr:from>
    <xdr:to>
      <xdr:col>92</xdr:col>
      <xdr:colOff>1</xdr:colOff>
      <xdr:row>87</xdr:row>
      <xdr:rowOff>176646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92</xdr:col>
      <xdr:colOff>372340</xdr:colOff>
      <xdr:row>65</xdr:row>
      <xdr:rowOff>86591</xdr:rowOff>
    </xdr:from>
    <xdr:to>
      <xdr:col>114</xdr:col>
      <xdr:colOff>34637</xdr:colOff>
      <xdr:row>87</xdr:row>
      <xdr:rowOff>150669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114</xdr:col>
      <xdr:colOff>554181</xdr:colOff>
      <xdr:row>65</xdr:row>
      <xdr:rowOff>95250</xdr:rowOff>
    </xdr:from>
    <xdr:to>
      <xdr:col>136</xdr:col>
      <xdr:colOff>216478</xdr:colOff>
      <xdr:row>87</xdr:row>
      <xdr:rowOff>159328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136</xdr:col>
      <xdr:colOff>476250</xdr:colOff>
      <xdr:row>65</xdr:row>
      <xdr:rowOff>95250</xdr:rowOff>
    </xdr:from>
    <xdr:to>
      <xdr:col>158</xdr:col>
      <xdr:colOff>138547</xdr:colOff>
      <xdr:row>87</xdr:row>
      <xdr:rowOff>159328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158</xdr:col>
      <xdr:colOff>381000</xdr:colOff>
      <xdr:row>65</xdr:row>
      <xdr:rowOff>95250</xdr:rowOff>
    </xdr:from>
    <xdr:to>
      <xdr:col>180</xdr:col>
      <xdr:colOff>43297</xdr:colOff>
      <xdr:row>87</xdr:row>
      <xdr:rowOff>159328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166687</xdr:colOff>
      <xdr:row>88</xdr:row>
      <xdr:rowOff>119063</xdr:rowOff>
    </xdr:from>
    <xdr:to>
      <xdr:col>26</xdr:col>
      <xdr:colOff>281421</xdr:colOff>
      <xdr:row>110</xdr:row>
      <xdr:rowOff>183141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89</xdr:row>
      <xdr:rowOff>0</xdr:rowOff>
    </xdr:from>
    <xdr:to>
      <xdr:col>48</xdr:col>
      <xdr:colOff>424297</xdr:colOff>
      <xdr:row>111</xdr:row>
      <xdr:rowOff>64078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299356</xdr:colOff>
      <xdr:row>88</xdr:row>
      <xdr:rowOff>176893</xdr:rowOff>
    </xdr:from>
    <xdr:to>
      <xdr:col>69</xdr:col>
      <xdr:colOff>723653</xdr:colOff>
      <xdr:row>111</xdr:row>
      <xdr:rowOff>50471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70</xdr:col>
      <xdr:colOff>312964</xdr:colOff>
      <xdr:row>89</xdr:row>
      <xdr:rowOff>0</xdr:rowOff>
    </xdr:from>
    <xdr:to>
      <xdr:col>91</xdr:col>
      <xdr:colOff>737261</xdr:colOff>
      <xdr:row>111</xdr:row>
      <xdr:rowOff>64078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92</xdr:col>
      <xdr:colOff>266700</xdr:colOff>
      <xdr:row>89</xdr:row>
      <xdr:rowOff>0</xdr:rowOff>
    </xdr:from>
    <xdr:to>
      <xdr:col>113</xdr:col>
      <xdr:colOff>690997</xdr:colOff>
      <xdr:row>111</xdr:row>
      <xdr:rowOff>64078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115</xdr:col>
      <xdr:colOff>0</xdr:colOff>
      <xdr:row>89</xdr:row>
      <xdr:rowOff>0</xdr:rowOff>
    </xdr:from>
    <xdr:to>
      <xdr:col>136</xdr:col>
      <xdr:colOff>424297</xdr:colOff>
      <xdr:row>111</xdr:row>
      <xdr:rowOff>64078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137</xdr:col>
      <xdr:colOff>0</xdr:colOff>
      <xdr:row>89</xdr:row>
      <xdr:rowOff>0</xdr:rowOff>
    </xdr:from>
    <xdr:to>
      <xdr:col>158</xdr:col>
      <xdr:colOff>424297</xdr:colOff>
      <xdr:row>111</xdr:row>
      <xdr:rowOff>64078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140275</xdr:colOff>
      <xdr:row>119</xdr:row>
      <xdr:rowOff>126421</xdr:rowOff>
    </xdr:from>
    <xdr:to>
      <xdr:col>26</xdr:col>
      <xdr:colOff>218208</xdr:colOff>
      <xdr:row>151</xdr:row>
      <xdr:rowOff>138545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166254</xdr:colOff>
      <xdr:row>152</xdr:row>
      <xdr:rowOff>173182</xdr:rowOff>
    </xdr:from>
    <xdr:to>
      <xdr:col>26</xdr:col>
      <xdr:colOff>244187</xdr:colOff>
      <xdr:row>184</xdr:row>
      <xdr:rowOff>185306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685800</xdr:colOff>
      <xdr:row>121</xdr:row>
      <xdr:rowOff>0</xdr:rowOff>
    </xdr:from>
    <xdr:to>
      <xdr:col>48</xdr:col>
      <xdr:colOff>400051</xdr:colOff>
      <xdr:row>153</xdr:row>
      <xdr:rowOff>12124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685800</xdr:colOff>
      <xdr:row>154</xdr:row>
      <xdr:rowOff>0</xdr:rowOff>
    </xdr:from>
    <xdr:to>
      <xdr:col>48</xdr:col>
      <xdr:colOff>400051</xdr:colOff>
      <xdr:row>186</xdr:row>
      <xdr:rowOff>12124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27214</xdr:colOff>
      <xdr:row>156</xdr:row>
      <xdr:rowOff>51707</xdr:rowOff>
    </xdr:from>
    <xdr:to>
      <xdr:col>93</xdr:col>
      <xdr:colOff>414710</xdr:colOff>
      <xdr:row>186</xdr:row>
      <xdr:rowOff>159081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50</xdr:col>
      <xdr:colOff>40821</xdr:colOff>
      <xdr:row>121</xdr:row>
      <xdr:rowOff>27214</xdr:rowOff>
    </xdr:from>
    <xdr:to>
      <xdr:col>71</xdr:col>
      <xdr:colOff>428317</xdr:colOff>
      <xdr:row>153</xdr:row>
      <xdr:rowOff>39338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72</xdr:col>
      <xdr:colOff>71438</xdr:colOff>
      <xdr:row>121</xdr:row>
      <xdr:rowOff>71437</xdr:rowOff>
    </xdr:from>
    <xdr:to>
      <xdr:col>93</xdr:col>
      <xdr:colOff>458934</xdr:colOff>
      <xdr:row>153</xdr:row>
      <xdr:rowOff>142874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675409</xdr:colOff>
      <xdr:row>154</xdr:row>
      <xdr:rowOff>121228</xdr:rowOff>
    </xdr:from>
    <xdr:to>
      <xdr:col>71</xdr:col>
      <xdr:colOff>300905</xdr:colOff>
      <xdr:row>187</xdr:row>
      <xdr:rowOff>185307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95</xdr:col>
      <xdr:colOff>127412</xdr:colOff>
      <xdr:row>121</xdr:row>
      <xdr:rowOff>0</xdr:rowOff>
    </xdr:from>
    <xdr:to>
      <xdr:col>116</xdr:col>
      <xdr:colOff>514908</xdr:colOff>
      <xdr:row>153</xdr:row>
      <xdr:rowOff>12124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95</xdr:col>
      <xdr:colOff>0</xdr:colOff>
      <xdr:row>154</xdr:row>
      <xdr:rowOff>94014</xdr:rowOff>
    </xdr:from>
    <xdr:to>
      <xdr:col>116</xdr:col>
      <xdr:colOff>387496</xdr:colOff>
      <xdr:row>187</xdr:row>
      <xdr:rowOff>158093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118</xdr:col>
      <xdr:colOff>0</xdr:colOff>
      <xdr:row>155</xdr:row>
      <xdr:rowOff>170770</xdr:rowOff>
    </xdr:from>
    <xdr:to>
      <xdr:col>139</xdr:col>
      <xdr:colOff>387496</xdr:colOff>
      <xdr:row>186</xdr:row>
      <xdr:rowOff>87644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118</xdr:col>
      <xdr:colOff>44224</xdr:colOff>
      <xdr:row>121</xdr:row>
      <xdr:rowOff>0</xdr:rowOff>
    </xdr:from>
    <xdr:to>
      <xdr:col>139</xdr:col>
      <xdr:colOff>431720</xdr:colOff>
      <xdr:row>153</xdr:row>
      <xdr:rowOff>71437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17</xdr:row>
      <xdr:rowOff>166687</xdr:rowOff>
    </xdr:from>
    <xdr:to>
      <xdr:col>14</xdr:col>
      <xdr:colOff>152399</xdr:colOff>
      <xdr:row>37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38</xdr:row>
      <xdr:rowOff>28575</xdr:rowOff>
    </xdr:from>
    <xdr:to>
      <xdr:col>14</xdr:col>
      <xdr:colOff>219075</xdr:colOff>
      <xdr:row>57</xdr:row>
      <xdr:rowOff>61913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0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7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8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9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0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2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GIPL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GIPL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GIPL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GIP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1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GIPL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6GIPL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7GIPL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8GIPL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9GIPL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0GIPL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1GIPL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2GIPL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3GIPL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4GIP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2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5GIPL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6GIPL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7GIPL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8GIPL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9GIPL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0GIPL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1GIPL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2GIPL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3GIPL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4GIP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3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5GIPL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6GIPL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7GIPL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8GIPL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9GIPL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0GIPL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1GIPL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2GIPL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3GIPL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4GIP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4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5GIPL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6GIPL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7GIPL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8GIPL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9GIPL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0GIPL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1GIPL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2GIPL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3GIPL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4GIP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5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5GIPL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6GIPL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7GIPL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8GIPL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9GIPL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0GIPL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1GIPL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2GIPL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UGSGR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UGSGR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6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UGSGR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UGSGR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UGSGR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6UGSGR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7UGSGR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8UGSGR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9UGSGR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0UGSGR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1UGSGR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2UGSG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7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3UGSGR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4UGSGR.xlsx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5UGSGR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6UGSGR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7UGSGR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8UGSGR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9UGSGR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0UGSGR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1UGSGR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2UGSG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8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3UGSGR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4UGSGR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5UGSGR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6UGSGR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7UGSGR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8UGSGR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9UGSGR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0UGSGR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1UGSGR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2UGSG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19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3UGSGR.xlsx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4UGSGR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5UGSGR.xlsx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6UGSGR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7UGSGR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8UGSGR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9UGSGR.xlsx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0UGSGR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1UGSGR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2UGSG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0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3UGSGR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4UGSGR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5UGSGR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6UGSGR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7UGSGR.xlsx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8UGSGR.xlsx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9UGSGR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0UGSGR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1UGSGR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2UGSG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1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LNGHR.xlsx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LNGHR.xlsx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LNGHR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LNGHR.xlsx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LNGHR.xlsx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6LNGHR.xlsx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7LNGHR.xlsx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8LNGHR.xlsx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9LNGHR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0LNGH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2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1LNGHR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2LNGHR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3LNGHR.xlsx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4LNGHR.xlsx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5LNGHR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6LNGHR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7LNGHR.xlsx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8LNGHR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9LNGHR.xlsx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0LNGHR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3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1LNGHR.xlsx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2LNGHR.xlsx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3LNGHR.xlsx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4LNGHR.xlsx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5LNGHR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6LNGHR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7LNGHR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8LNGHR.xlsx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9LNGHR.xlsx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0LNGHR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4b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1LNGHR.xlsx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2LNGHR.xlsx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3LNGHR.xlsx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4LNGHR.xlsx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5LNGHR.xlsx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6LNGHR.xlsx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7LNGHR.xlsx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8LNGHR.xlsx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9LNGHR.xlsx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0LNGHR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5.xlsx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1LNGHR.xlsx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2LNGHR.xlsx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3LNGHR.xlsx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4LNGHR.xlsx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5LNGHR.xlsx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6LNGHR.xlsx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7LNGHR.xlsx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8LNGHR.xlsx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9LNGHR.xlsx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0LNGHR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6.xlsx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1LNGHR.xlsx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2LNGHR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7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8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2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5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7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8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3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2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5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6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7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4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5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5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5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5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Carmen%20Toy/test%204th%20round/GREEN_REF_FID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5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7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8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0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2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3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4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5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7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7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8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19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0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1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3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4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5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8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7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29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0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1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2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3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4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5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.rodriguez/Desktop/results%20test%20nemo/9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7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8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3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0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2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3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4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5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.lebois/AppData/Local/Microsoft/Windows/Temporary%20Internet%20Files/Content.Outlook/ZPJ6Z353/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3644.2167275675656</v>
          </cell>
        </row>
        <row r="92">
          <cell r="I92">
            <v>4348.29054054054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6165.659657142859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19.921939726027368</v>
          </cell>
        </row>
        <row r="10993">
          <cell r="I10993">
            <v>37.292232876712305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536.00948544297376</v>
          </cell>
        </row>
        <row r="11103">
          <cell r="I11103">
            <v>0</v>
          </cell>
        </row>
        <row r="11114">
          <cell r="I11114">
            <v>215.30191995557499</v>
          </cell>
        </row>
        <row r="11125">
          <cell r="I11125">
            <v>13.139726027397261</v>
          </cell>
        </row>
        <row r="11136">
          <cell r="I11136">
            <v>869.40018799437712</v>
          </cell>
        </row>
        <row r="11147">
          <cell r="I11147">
            <v>78.452079999999981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143.47238316179133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1425.6940154440153</v>
          </cell>
        </row>
        <row r="59">
          <cell r="I59">
            <v>1710.9500000000003</v>
          </cell>
        </row>
        <row r="81">
          <cell r="I81">
            <v>2314</v>
          </cell>
        </row>
        <row r="92">
          <cell r="I92">
            <v>2665.4792758301014</v>
          </cell>
        </row>
        <row r="114">
          <cell r="I114">
            <v>308.22586872586874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3252.4362934362975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5176.8000000000065</v>
          </cell>
        </row>
        <row r="224">
          <cell r="I224">
            <v>6327.2000000000007</v>
          </cell>
        </row>
        <row r="257">
          <cell r="I257">
            <v>6165.6596571428636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36.174567123287673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45.257976037140509</v>
          </cell>
        </row>
        <row r="11092">
          <cell r="I11092">
            <v>661.1540790634923</v>
          </cell>
        </row>
        <row r="11103">
          <cell r="I11103">
            <v>0</v>
          </cell>
        </row>
        <row r="11114">
          <cell r="I11114">
            <v>202.14234630136826</v>
          </cell>
        </row>
        <row r="11125">
          <cell r="I11125">
            <v>13.139726027397261</v>
          </cell>
        </row>
        <row r="11136">
          <cell r="I11136">
            <v>801.1045734052683</v>
          </cell>
        </row>
        <row r="11147">
          <cell r="I11147">
            <v>1.2540399999999856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5.4454000000000278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83.383181953727444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3067.0000000000009</v>
          </cell>
        </row>
        <row r="213">
          <cell r="I213">
            <v>4331.8126888217521</v>
          </cell>
        </row>
        <row r="224">
          <cell r="I224">
            <v>4590.3892425821941</v>
          </cell>
        </row>
        <row r="257">
          <cell r="I257">
            <v>14223.844769725043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142.1082074849314</v>
          </cell>
        </row>
        <row r="11026">
          <cell r="I11026">
            <v>44.070160324708318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154.32035410005426</v>
          </cell>
        </row>
        <row r="11081">
          <cell r="I11081">
            <v>81.308199999999999</v>
          </cell>
        </row>
        <row r="11092">
          <cell r="I11092">
            <v>308.45262935611157</v>
          </cell>
        </row>
        <row r="11103">
          <cell r="I11103">
            <v>0</v>
          </cell>
        </row>
        <row r="11114">
          <cell r="I11114">
            <v>150.54344411869269</v>
          </cell>
        </row>
        <row r="11125">
          <cell r="I11125">
            <v>13.139726027397261</v>
          </cell>
        </row>
        <row r="11136">
          <cell r="I11136">
            <v>506.10264739757287</v>
          </cell>
        </row>
        <row r="11147">
          <cell r="I11147">
            <v>139.83561643835617</v>
          </cell>
        </row>
        <row r="11158">
          <cell r="I11158">
            <v>12.141839999999988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45.138481450150991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356.417.712,14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144.65256797583081</v>
          </cell>
        </row>
        <row r="26">
          <cell r="I26">
            <v>235.06042296072508</v>
          </cell>
        </row>
        <row r="48">
          <cell r="I48">
            <v>689.9519314039469</v>
          </cell>
        </row>
        <row r="59">
          <cell r="I59">
            <v>892.91616314199393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251.90181268882174</v>
          </cell>
        </row>
        <row r="147">
          <cell r="I147">
            <v>2794.5166163141994</v>
          </cell>
        </row>
        <row r="158">
          <cell r="I158">
            <v>2825.4645015105739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4000</v>
          </cell>
        </row>
        <row r="224">
          <cell r="I224">
            <v>4000.0000000000005</v>
          </cell>
        </row>
        <row r="257">
          <cell r="I257">
            <v>14223.844769725049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44.467894469812258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48.010800000000032</v>
          </cell>
        </row>
        <row r="11092">
          <cell r="I11092">
            <v>236.7872918994743</v>
          </cell>
        </row>
        <row r="11103">
          <cell r="I11103">
            <v>0</v>
          </cell>
        </row>
        <row r="11114">
          <cell r="I11114">
            <v>195.15799726027396</v>
          </cell>
        </row>
        <row r="11125">
          <cell r="I11125">
            <v>13.139726027397261</v>
          </cell>
        </row>
        <row r="11136">
          <cell r="I11136">
            <v>641.47225850166296</v>
          </cell>
        </row>
        <row r="11147">
          <cell r="I11147">
            <v>133.98933369863013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39.539959999999908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364.405.526,11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198.89728096676737</v>
          </cell>
        </row>
        <row r="26">
          <cell r="I26">
            <v>289.30513595166161</v>
          </cell>
        </row>
        <row r="48">
          <cell r="I48">
            <v>812.42360814110714</v>
          </cell>
        </row>
        <row r="59">
          <cell r="I59">
            <v>1034.5891238670695</v>
          </cell>
        </row>
        <row r="81">
          <cell r="I81">
            <v>2314</v>
          </cell>
        </row>
        <row r="114">
          <cell r="I114">
            <v>241.916918429003</v>
          </cell>
        </row>
        <row r="125">
          <cell r="I125">
            <v>266.87915407854985</v>
          </cell>
        </row>
        <row r="147">
          <cell r="I147">
            <v>2813.0853474320243</v>
          </cell>
        </row>
        <row r="158">
          <cell r="I158">
            <v>2844.0332326283988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4608.3232628398791</v>
          </cell>
        </row>
        <row r="224">
          <cell r="I224">
            <v>4884.8338368580062</v>
          </cell>
        </row>
        <row r="257">
          <cell r="I257">
            <v>14223.844769725045</v>
          </cell>
        </row>
        <row r="10960">
          <cell r="I10960">
            <v>154.7130944232386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21.062267123287672</v>
          </cell>
        </row>
        <row r="11004">
          <cell r="I11004">
            <v>0</v>
          </cell>
        </row>
        <row r="11015">
          <cell r="I11015">
            <v>121.92266996032325</v>
          </cell>
        </row>
        <row r="11026">
          <cell r="I11026">
            <v>44.07016032470834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42.819565296803702</v>
          </cell>
        </row>
        <row r="11092">
          <cell r="I11092">
            <v>496.26023068306523</v>
          </cell>
        </row>
        <row r="11103">
          <cell r="I11103">
            <v>0</v>
          </cell>
        </row>
        <row r="11114">
          <cell r="I11114">
            <v>120.5169315068494</v>
          </cell>
        </row>
        <row r="11125">
          <cell r="I11125">
            <v>13.139726027397261</v>
          </cell>
        </row>
        <row r="11136">
          <cell r="I11136">
            <v>702.14160146456686</v>
          </cell>
        </row>
        <row r="11147">
          <cell r="I11147">
            <v>139.83561643835617</v>
          </cell>
        </row>
        <row r="11158">
          <cell r="I11158">
            <v>6.3418400000000137</v>
          </cell>
        </row>
        <row r="11169">
          <cell r="I11169">
            <v>63.287671232876711</v>
          </cell>
        </row>
        <row r="11180">
          <cell r="I11180">
            <v>105.07316756976152</v>
          </cell>
        </row>
        <row r="11191">
          <cell r="I11191">
            <v>0</v>
          </cell>
        </row>
        <row r="11202">
          <cell r="I11202">
            <v>139.55838356164378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103.04737721610715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354.737.724,04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0</v>
          </cell>
        </row>
        <row r="26">
          <cell r="I26">
            <v>0</v>
          </cell>
        </row>
        <row r="48">
          <cell r="I48">
            <v>609.57024169184285</v>
          </cell>
        </row>
        <row r="59">
          <cell r="I59">
            <v>798.46752265861028</v>
          </cell>
        </row>
        <row r="81">
          <cell r="I81">
            <v>2882.4950906344411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2813.0853474320243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4332.0452093495669</v>
          </cell>
        </row>
        <row r="224">
          <cell r="I224">
            <v>4608.3232628398791</v>
          </cell>
        </row>
        <row r="257">
          <cell r="I257">
            <v>14223.84476972505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44.070160324708283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81.308199999999971</v>
          </cell>
        </row>
        <row r="11092">
          <cell r="I11092">
            <v>322.80967271410577</v>
          </cell>
        </row>
        <row r="11103">
          <cell r="I11103">
            <v>0</v>
          </cell>
        </row>
        <row r="11114">
          <cell r="I11114">
            <v>185.58751924656733</v>
          </cell>
        </row>
        <row r="11125">
          <cell r="I11125">
            <v>13.139726027397261</v>
          </cell>
        </row>
        <row r="11136">
          <cell r="I11136">
            <v>551.14997950686291</v>
          </cell>
        </row>
        <row r="11147">
          <cell r="I11147">
            <v>139.83561643835617</v>
          </cell>
        </row>
        <row r="11158">
          <cell r="I11158">
            <v>6.3418400000000092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9.4074190969986127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340.131.074,39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279.00000000000006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4442.4169184290031</v>
          </cell>
        </row>
        <row r="224">
          <cell r="I224">
            <v>4663.6253776435042</v>
          </cell>
        </row>
        <row r="257">
          <cell r="I257">
            <v>14223.844769725034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30.314767123287709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44.070160324708318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69.527803652968174</v>
          </cell>
        </row>
        <row r="11081">
          <cell r="I11081">
            <v>80.015760000000085</v>
          </cell>
        </row>
        <row r="11092">
          <cell r="I11092">
            <v>337.10104501104013</v>
          </cell>
        </row>
        <row r="11103">
          <cell r="I11103">
            <v>0</v>
          </cell>
        </row>
        <row r="11114">
          <cell r="I11114">
            <v>174.55978739726058</v>
          </cell>
        </row>
        <row r="11125">
          <cell r="I11125">
            <v>13.139726027397261</v>
          </cell>
        </row>
        <row r="11136">
          <cell r="I11136">
            <v>729.92714588699891</v>
          </cell>
        </row>
        <row r="11147">
          <cell r="I11147">
            <v>139.83561643835617</v>
          </cell>
        </row>
        <row r="11158">
          <cell r="I11158">
            <v>6.3418399999999977</v>
          </cell>
        </row>
        <row r="11169">
          <cell r="I11169">
            <v>63.287671232876711</v>
          </cell>
        </row>
        <row r="11180">
          <cell r="I11180">
            <v>108.73139154083748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342.104.967,73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187</v>
          </cell>
        </row>
        <row r="125">
          <cell r="I125">
            <v>187.00000000000017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3067.0000000000009</v>
          </cell>
        </row>
        <row r="213">
          <cell r="I213">
            <v>4331.8126888217521</v>
          </cell>
        </row>
        <row r="224">
          <cell r="I224">
            <v>4571.2351640323441</v>
          </cell>
        </row>
        <row r="257">
          <cell r="I257">
            <v>14223.844769725039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35.662267123287648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44.070160324708304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81.308199999999985</v>
          </cell>
        </row>
        <row r="11092">
          <cell r="I11092">
            <v>310.77757296667249</v>
          </cell>
        </row>
        <row r="11103">
          <cell r="I11103">
            <v>0</v>
          </cell>
        </row>
        <row r="11114">
          <cell r="I11114">
            <v>173.97674630136999</v>
          </cell>
        </row>
        <row r="11125">
          <cell r="I11125">
            <v>13.139726027397261</v>
          </cell>
        </row>
        <row r="11136">
          <cell r="I11136">
            <v>528.31636472469449</v>
          </cell>
        </row>
        <row r="11147">
          <cell r="I11147">
            <v>139.83561643835617</v>
          </cell>
        </row>
        <row r="11158">
          <cell r="I11158">
            <v>6.3418399999999808</v>
          </cell>
        </row>
        <row r="11169">
          <cell r="I11169">
            <v>63.287671232876711</v>
          </cell>
        </row>
        <row r="11180">
          <cell r="I11180">
            <v>98.991433424657657</v>
          </cell>
        </row>
        <row r="11191">
          <cell r="I11191">
            <v>0</v>
          </cell>
        </row>
        <row r="11202">
          <cell r="I11202">
            <v>139.55838356164372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9.4074190969985931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341.162.184,25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264</v>
          </cell>
        </row>
        <row r="48">
          <cell r="I48">
            <v>822.17084942084944</v>
          </cell>
        </row>
        <row r="59">
          <cell r="I59">
            <v>1063.5801158301158</v>
          </cell>
        </row>
        <row r="81">
          <cell r="I81">
            <v>3331.14527027027</v>
          </cell>
        </row>
        <row r="114">
          <cell r="I114">
            <v>244.42277992277991</v>
          </cell>
        </row>
        <row r="125">
          <cell r="I125">
            <v>269.94401544401546</v>
          </cell>
        </row>
        <row r="147">
          <cell r="I147">
            <v>2816.1920849420849</v>
          </cell>
        </row>
        <row r="158">
          <cell r="I158">
            <v>2847.8330115830117</v>
          </cell>
        </row>
        <row r="180">
          <cell r="I180">
            <v>3460.1861953630064</v>
          </cell>
        </row>
        <row r="191">
          <cell r="I191">
            <v>3460.1861953630068</v>
          </cell>
        </row>
        <row r="213">
          <cell r="I213">
            <v>4636.0810810810808</v>
          </cell>
        </row>
        <row r="224">
          <cell r="I224">
            <v>4918.7837837837833</v>
          </cell>
        </row>
        <row r="257">
          <cell r="I257">
            <v>6165.6596571428518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37.292232876712305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145.51904991941998</v>
          </cell>
        </row>
        <row r="11092">
          <cell r="I11092">
            <v>562.60470117077386</v>
          </cell>
        </row>
        <row r="11103">
          <cell r="I11103">
            <v>0</v>
          </cell>
        </row>
        <row r="11114">
          <cell r="I11114">
            <v>216.88223561643832</v>
          </cell>
        </row>
        <row r="11125">
          <cell r="I11125">
            <v>13.139726027397261</v>
          </cell>
        </row>
        <row r="11136">
          <cell r="I11136">
            <v>861.59099801907291</v>
          </cell>
        </row>
        <row r="11147">
          <cell r="I11147">
            <v>18.703810089215683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5.4453999999999887</v>
          </cell>
        </row>
        <row r="11202">
          <cell r="I11202">
            <v>133.69312054794534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162.35238217182288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47.021.258,62</v>
          </cell>
          <cell r="K2" t="str">
            <v>308.099.569,16</v>
          </cell>
          <cell r="N2" t="str">
            <v>71.932.043,88</v>
          </cell>
        </row>
      </sheetData>
      <sheetData sheetId="7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231.08108108108104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114">
          <cell r="I114">
            <v>257.18339768339769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3260.3465250965264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4744.6239796815989</v>
          </cell>
        </row>
        <row r="224">
          <cell r="I224">
            <v>5060.135135135135</v>
          </cell>
        </row>
        <row r="257">
          <cell r="I257">
            <v>6165.6637714285825</v>
          </cell>
        </row>
        <row r="10960">
          <cell r="I10960">
            <v>162.26572054794562</v>
          </cell>
        </row>
        <row r="10971">
          <cell r="I10971">
            <v>42.493150684931507</v>
          </cell>
        </row>
        <row r="10982">
          <cell r="I10982">
            <v>26.883863426027368</v>
          </cell>
        </row>
        <row r="10993">
          <cell r="I10993">
            <v>34.306767123287671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462.46073094601076</v>
          </cell>
        </row>
        <row r="11103">
          <cell r="I11103">
            <v>0</v>
          </cell>
        </row>
        <row r="11114">
          <cell r="I11114">
            <v>205.03346849315054</v>
          </cell>
        </row>
        <row r="11125">
          <cell r="I11125">
            <v>13.139726027397261</v>
          </cell>
        </row>
        <row r="11136">
          <cell r="I11136">
            <v>845.94487794805332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134.58613513746656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314.043.113,22</v>
          </cell>
          <cell r="N2" t="str">
            <v>71.928.700,54</v>
          </cell>
        </row>
      </sheetData>
      <sheetData sheetId="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264</v>
          </cell>
        </row>
        <row r="48">
          <cell r="I48">
            <v>761.81853281853284</v>
          </cell>
        </row>
        <row r="59">
          <cell r="I59">
            <v>1013.4135858592084</v>
          </cell>
        </row>
        <row r="81">
          <cell r="I81">
            <v>3185.8388030888032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5176.7999999999947</v>
          </cell>
        </row>
        <row r="224">
          <cell r="I224">
            <v>6327.2000000000007</v>
          </cell>
        </row>
        <row r="257">
          <cell r="I257">
            <v>6165.6637714285616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36.17456712328768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104.88152365296801</v>
          </cell>
        </row>
        <row r="11081">
          <cell r="I11081">
            <v>67.006479999999982</v>
          </cell>
        </row>
        <row r="11092">
          <cell r="I11092">
            <v>529.02811729821633</v>
          </cell>
        </row>
        <row r="11103">
          <cell r="I11103">
            <v>0</v>
          </cell>
        </row>
        <row r="11114">
          <cell r="I11114">
            <v>100.59346849315055</v>
          </cell>
        </row>
        <row r="11125">
          <cell r="I11125">
            <v>13.139726027397261</v>
          </cell>
        </row>
        <row r="11136">
          <cell r="I11136">
            <v>828.45961340526753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125.32169813732872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301.673.061,44</v>
          </cell>
          <cell r="N2" t="str">
            <v>71.928.700,54</v>
          </cell>
        </row>
      </sheetData>
      <sheetData sheetId="7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46.21621621621621</v>
          </cell>
        </row>
        <row r="26">
          <cell r="I26">
            <v>158.4</v>
          </cell>
        </row>
        <row r="48">
          <cell r="I48">
            <v>399.70463320463318</v>
          </cell>
        </row>
        <row r="59">
          <cell r="I59">
            <v>641.11389961389966</v>
          </cell>
        </row>
        <row r="81">
          <cell r="I81">
            <v>5044.5000000000091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2760.8204633204632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4141.3513513513517</v>
          </cell>
        </row>
        <row r="224">
          <cell r="I224">
            <v>4461.4943117279208</v>
          </cell>
        </row>
        <row r="257">
          <cell r="I257">
            <v>6165.6637714285598</v>
          </cell>
        </row>
        <row r="10960">
          <cell r="I10960">
            <v>40.546519124491454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666.69076582943001</v>
          </cell>
        </row>
        <row r="11103">
          <cell r="I11103">
            <v>0</v>
          </cell>
        </row>
        <row r="11114">
          <cell r="I11114">
            <v>191.49376438356168</v>
          </cell>
        </row>
        <row r="11125">
          <cell r="I11125">
            <v>13.139726027397261</v>
          </cell>
        </row>
        <row r="11136">
          <cell r="I11136">
            <v>758.77844511854937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5.1016000000000119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23.315239999999953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304.227.476,63</v>
          </cell>
          <cell r="N2" t="str">
            <v>71.928.700,54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1022.9778279536665</v>
          </cell>
        </row>
        <row r="59">
          <cell r="I59">
            <v>1304.9893822393822</v>
          </cell>
        </row>
        <row r="81">
          <cell r="I81">
            <v>3767.0646718146718</v>
          </cell>
        </row>
        <row r="92">
          <cell r="I92">
            <v>4493.5970077220072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6165.6596571428636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19.921939726027372</v>
          </cell>
        </row>
        <row r="10993">
          <cell r="I10993">
            <v>35.712528767123359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398.77355218589014</v>
          </cell>
        </row>
        <row r="11103">
          <cell r="I11103">
            <v>0</v>
          </cell>
        </row>
        <row r="11114">
          <cell r="I11114">
            <v>220.23346849315078</v>
          </cell>
        </row>
        <row r="11125">
          <cell r="I11125">
            <v>13.139726027397261</v>
          </cell>
        </row>
        <row r="11136">
          <cell r="I11136">
            <v>950.5505164236198</v>
          </cell>
        </row>
        <row r="11147">
          <cell r="I11147">
            <v>101.25403999999997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146.77918356164372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3627.0071843148016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6165.6637714285989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19.921939726027357</v>
          </cell>
        </row>
        <row r="10993">
          <cell r="I10993">
            <v>37.371526756755088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527.03675577370223</v>
          </cell>
        </row>
        <row r="11103">
          <cell r="I11103">
            <v>0</v>
          </cell>
        </row>
        <row r="11114">
          <cell r="I11114">
            <v>212.56870885968314</v>
          </cell>
        </row>
        <row r="11125">
          <cell r="I11125">
            <v>13.139726027397261</v>
          </cell>
        </row>
        <row r="11136">
          <cell r="I11136">
            <v>891.22487487949513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85.49961384672271</v>
          </cell>
        </row>
        <row r="11213">
          <cell r="I11213">
            <v>3.4549610958904005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326.971.960,42</v>
          </cell>
          <cell r="N2" t="str">
            <v>71.928.700,54</v>
          </cell>
        </row>
      </sheetData>
      <sheetData sheetId="7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264</v>
          </cell>
        </row>
        <row r="48">
          <cell r="I48">
            <v>1509.0500000000013</v>
          </cell>
        </row>
        <row r="59">
          <cell r="I59">
            <v>1710.95</v>
          </cell>
        </row>
        <row r="81">
          <cell r="I81">
            <v>3408.2441843148003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6165.6637714285998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11.413525276027304</v>
          </cell>
        </row>
        <row r="10993">
          <cell r="I10993">
            <v>34.306767123287692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587.44953094529444</v>
          </cell>
        </row>
        <row r="11103">
          <cell r="I11103">
            <v>0</v>
          </cell>
        </row>
        <row r="11114">
          <cell r="I11114">
            <v>205.03346849315068</v>
          </cell>
        </row>
        <row r="11125">
          <cell r="I11125">
            <v>13.139726027397261</v>
          </cell>
        </row>
        <row r="11136">
          <cell r="I11136">
            <v>819.07920278063182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63.287671232876718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95.946126971491822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320.665.239,71</v>
          </cell>
          <cell r="N2" t="str">
            <v>71.928.700,54</v>
          </cell>
        </row>
      </sheetData>
      <sheetData sheetId="7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114">
          <cell r="I114">
            <v>335.69999999999982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5086.8715665541877</v>
          </cell>
        </row>
        <row r="257">
          <cell r="I257">
            <v>6165.663771428578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26.883863426027389</v>
          </cell>
        </row>
        <row r="10993">
          <cell r="I10993">
            <v>34.306767123287685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535.96895577370412</v>
          </cell>
        </row>
        <row r="11103">
          <cell r="I11103">
            <v>0</v>
          </cell>
        </row>
        <row r="11114">
          <cell r="I11114">
            <v>205.03346849315074</v>
          </cell>
        </row>
        <row r="11125">
          <cell r="I11125">
            <v>13.139726027397261</v>
          </cell>
        </row>
        <row r="11136">
          <cell r="I11136">
            <v>845.67761696443745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122.47693440334638</v>
          </cell>
        </row>
        <row r="11213">
          <cell r="I11213">
            <v>3.4549610958904058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326.700.115,24</v>
          </cell>
          <cell r="N2" t="str">
            <v>71.928.700,54</v>
          </cell>
        </row>
      </sheetData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6165.6637714285598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25.597939726027331</v>
          </cell>
        </row>
        <row r="10993">
          <cell r="I10993">
            <v>32.361295890410986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584.44756423353124</v>
          </cell>
        </row>
        <row r="11103">
          <cell r="I11103">
            <v>0</v>
          </cell>
        </row>
        <row r="11114">
          <cell r="I11114">
            <v>220.23346849315084</v>
          </cell>
        </row>
        <row r="11125">
          <cell r="I11125">
            <v>13.139726027397261</v>
          </cell>
        </row>
        <row r="11136">
          <cell r="I11136">
            <v>891.2248748794965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128.85166084783526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341.198.002,69</v>
          </cell>
          <cell r="N2" t="str">
            <v>71.928.700,54</v>
          </cell>
        </row>
      </sheetData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1233.8600000000001</v>
          </cell>
        </row>
        <row r="59">
          <cell r="I59">
            <v>1486.0463320463321</v>
          </cell>
        </row>
        <row r="81">
          <cell r="I81">
            <v>4315.1426798102984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6165.6637714285698</v>
          </cell>
        </row>
        <row r="10960">
          <cell r="I10960">
            <v>190.49748958688093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632.13010389631245</v>
          </cell>
        </row>
        <row r="11103">
          <cell r="I11103">
            <v>0</v>
          </cell>
        </row>
        <row r="11114">
          <cell r="I11114">
            <v>244.04223561643823</v>
          </cell>
        </row>
        <row r="11125">
          <cell r="I11125">
            <v>13.139726027397261</v>
          </cell>
        </row>
        <row r="11136">
          <cell r="I11136">
            <v>873.76410731192823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349.021.232,29</v>
          </cell>
          <cell r="N2" t="str">
            <v>71.928.700,54</v>
          </cell>
        </row>
      </sheetData>
      <sheetData sheetId="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1425.6940154440153</v>
          </cell>
        </row>
        <row r="59">
          <cell r="I59">
            <v>1710.95</v>
          </cell>
        </row>
        <row r="81">
          <cell r="I81">
            <v>2314</v>
          </cell>
        </row>
        <row r="114">
          <cell r="I114">
            <v>308.22586872586874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3252.4362934362998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5176.800000000002</v>
          </cell>
        </row>
        <row r="224">
          <cell r="I224">
            <v>6327.2000000000007</v>
          </cell>
        </row>
        <row r="257">
          <cell r="I257">
            <v>6165.6637714285825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34.289432876712311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41.078117990867263</v>
          </cell>
        </row>
        <row r="11092">
          <cell r="I11092">
            <v>624.12138043334676</v>
          </cell>
        </row>
        <row r="11103">
          <cell r="I11103">
            <v>0</v>
          </cell>
        </row>
        <row r="11114">
          <cell r="I11114">
            <v>100.59346849315065</v>
          </cell>
        </row>
        <row r="11125">
          <cell r="I11125">
            <v>13.139726027397261</v>
          </cell>
        </row>
        <row r="11136">
          <cell r="I11136">
            <v>802.98970765184379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5.4454000000000367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87.563040000000413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343.462.380,18</v>
          </cell>
          <cell r="N2" t="str">
            <v>71.928.700,54</v>
          </cell>
        </row>
      </sheetData>
      <sheetData sheetId="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1021.9594043920245</v>
          </cell>
        </row>
        <row r="59">
          <cell r="I59">
            <v>1304.9893822393822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6165.6637714285598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25.597939726027356</v>
          </cell>
        </row>
        <row r="10993">
          <cell r="I10993">
            <v>35.712528767123274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366.73078826141955</v>
          </cell>
        </row>
        <row r="11103">
          <cell r="I11103">
            <v>0</v>
          </cell>
        </row>
        <row r="11114">
          <cell r="I11114">
            <v>220.23346849315064</v>
          </cell>
        </row>
        <row r="11125">
          <cell r="I11125">
            <v>13.139726027397261</v>
          </cell>
        </row>
        <row r="11136">
          <cell r="I11136">
            <v>955.24480306190344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128.85166084783535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328.843.672,55</v>
          </cell>
          <cell r="N2" t="str">
            <v>71.928.700,54</v>
          </cell>
        </row>
      </sheetData>
      <sheetData sheetId="7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279</v>
          </cell>
        </row>
        <row r="59">
          <cell r="I59">
            <v>329.29359716859716</v>
          </cell>
        </row>
        <row r="81">
          <cell r="I81">
            <v>4202.9840733590736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6165.6637714285598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25.597939726027327</v>
          </cell>
        </row>
        <row r="10993">
          <cell r="I10993">
            <v>34.289432876712311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587.31681339653005</v>
          </cell>
        </row>
        <row r="11103">
          <cell r="I11103">
            <v>0</v>
          </cell>
        </row>
        <row r="11114">
          <cell r="I11114">
            <v>218.65376438356168</v>
          </cell>
        </row>
        <row r="11125">
          <cell r="I11125">
            <v>13.139726027397261</v>
          </cell>
        </row>
        <row r="11136">
          <cell r="I11136">
            <v>937.26870101400925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141.10318356164396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331.277.679,23</v>
          </cell>
          <cell r="N2" t="str">
            <v>71.928.700,54</v>
          </cell>
        </row>
      </sheetData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187</v>
          </cell>
        </row>
        <row r="125">
          <cell r="I125">
            <v>187.00000000000063</v>
          </cell>
        </row>
        <row r="147">
          <cell r="I147">
            <v>2839.9227799227801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4817.9241727317922</v>
          </cell>
        </row>
        <row r="224">
          <cell r="I224">
            <v>5130.8108108108108</v>
          </cell>
        </row>
        <row r="257">
          <cell r="I257">
            <v>6165.6637714285534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25.597939726027363</v>
          </cell>
        </row>
        <row r="10993">
          <cell r="I10993">
            <v>37.292232876712305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541.54233020873778</v>
          </cell>
        </row>
        <row r="11103">
          <cell r="I11103">
            <v>0</v>
          </cell>
        </row>
        <row r="11114">
          <cell r="I11114">
            <v>215.30253150684922</v>
          </cell>
        </row>
        <row r="11125">
          <cell r="I11125">
            <v>13.139726027397261</v>
          </cell>
        </row>
        <row r="11136">
          <cell r="I11136">
            <v>942.67837145255362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98.667725471519219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329.247.498,71</v>
          </cell>
          <cell r="N2" t="str">
            <v>71.928.700,54</v>
          </cell>
        </row>
      </sheetData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2782.0825613293032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14299.710171428565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32.306767123287663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144.5594926702334</v>
          </cell>
        </row>
        <row r="11081">
          <cell r="I11081">
            <v>0</v>
          </cell>
        </row>
        <row r="11092">
          <cell r="I11092">
            <v>436.37043485555785</v>
          </cell>
        </row>
        <row r="11103">
          <cell r="I11103">
            <v>0</v>
          </cell>
        </row>
        <row r="11114">
          <cell r="I11114">
            <v>190.96163013698626</v>
          </cell>
        </row>
        <row r="11125">
          <cell r="I11125">
            <v>13.139726027397261</v>
          </cell>
        </row>
        <row r="11136">
          <cell r="I11136">
            <v>657.68679569555422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71.898347862848411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340.612.833,17</v>
          </cell>
          <cell r="N2" t="str">
            <v>35.475.755,55</v>
          </cell>
        </row>
      </sheetData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279</v>
          </cell>
        </row>
        <row r="59">
          <cell r="I59">
            <v>329.29359716859716</v>
          </cell>
        </row>
        <row r="81">
          <cell r="I81">
            <v>4202.9840733590736</v>
          </cell>
        </row>
        <row r="92">
          <cell r="I92">
            <v>4824.520138120979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6165.6596571428454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25.597939726027352</v>
          </cell>
        </row>
        <row r="10993">
          <cell r="I10993">
            <v>35.712528767123409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645.77689175269586</v>
          </cell>
        </row>
        <row r="11103">
          <cell r="I11103">
            <v>0</v>
          </cell>
        </row>
        <row r="11114">
          <cell r="I11114">
            <v>220.23346849315058</v>
          </cell>
        </row>
        <row r="11125">
          <cell r="I11125">
            <v>13.139726027397261</v>
          </cell>
        </row>
        <row r="11136">
          <cell r="I11136">
            <v>926.78739909619856</v>
          </cell>
        </row>
        <row r="11147">
          <cell r="I11147">
            <v>88.854040000000055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141.10318356164382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704.01888217522651</v>
          </cell>
        </row>
        <row r="81">
          <cell r="I81">
            <v>2655.0970543806648</v>
          </cell>
        </row>
        <row r="114">
          <cell r="I114">
            <v>206.96978851963746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3247.471487915403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4225.0802954682813</v>
          </cell>
        </row>
        <row r="224">
          <cell r="I224">
            <v>4497.7190332326281</v>
          </cell>
        </row>
        <row r="257">
          <cell r="I257">
            <v>14299.710171428567</v>
          </cell>
        </row>
        <row r="10960">
          <cell r="I10960">
            <v>106.39637177082912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32.306767123287713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51.881635210553007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133.9931963470319</v>
          </cell>
        </row>
        <row r="11081">
          <cell r="I11081">
            <v>67.010800000000017</v>
          </cell>
        </row>
        <row r="11092">
          <cell r="I11092">
            <v>292.58154101683556</v>
          </cell>
        </row>
        <row r="11103">
          <cell r="I11103">
            <v>0</v>
          </cell>
        </row>
        <row r="11114">
          <cell r="I11114">
            <v>195.40983561643844</v>
          </cell>
        </row>
        <row r="11125">
          <cell r="I11125">
            <v>13.139726027397261</v>
          </cell>
        </row>
        <row r="11136">
          <cell r="I11136">
            <v>623.4899059448685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99.872228959152295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323.068.495,34</v>
          </cell>
          <cell r="N2" t="str">
            <v>35.475.755,55</v>
          </cell>
        </row>
      </sheetData>
      <sheetData sheetId="7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279.00000000000011</v>
          </cell>
        </row>
        <row r="81">
          <cell r="I81">
            <v>2314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5175.1699395770393</v>
          </cell>
        </row>
        <row r="224">
          <cell r="I224">
            <v>6301.8038604229478</v>
          </cell>
        </row>
        <row r="257">
          <cell r="I257">
            <v>14299.710171428569</v>
          </cell>
        </row>
        <row r="10960">
          <cell r="I10960">
            <v>200.56612054794527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30.401013698630138</v>
          </cell>
        </row>
        <row r="11004">
          <cell r="I11004">
            <v>0</v>
          </cell>
        </row>
        <row r="11015">
          <cell r="I11015">
            <v>131.95713972602698</v>
          </cell>
        </row>
        <row r="11026">
          <cell r="I11026">
            <v>49.398885337392194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124.61153691493348</v>
          </cell>
        </row>
        <row r="11092">
          <cell r="I11092">
            <v>277.5377879877808</v>
          </cell>
        </row>
        <row r="11103">
          <cell r="I11103">
            <v>0</v>
          </cell>
        </row>
        <row r="11114">
          <cell r="I11114">
            <v>67.161068493150566</v>
          </cell>
        </row>
        <row r="11125">
          <cell r="I11125">
            <v>13.139726027397261</v>
          </cell>
        </row>
        <row r="11136">
          <cell r="I11136">
            <v>723.86418303556491</v>
          </cell>
        </row>
        <row r="11147">
          <cell r="I11147">
            <v>138.17316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309.952.573,50</v>
          </cell>
          <cell r="N2" t="str">
            <v>35.475.755,55</v>
          </cell>
        </row>
      </sheetData>
      <sheetData sheetId="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279.00000000000034</v>
          </cell>
        </row>
        <row r="81">
          <cell r="I81">
            <v>3735.2377265861028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2745.0000000000005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14299.710171428578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144.58780365296792</v>
          </cell>
        </row>
        <row r="11081">
          <cell r="I11081">
            <v>65.308199999999999</v>
          </cell>
        </row>
        <row r="11092">
          <cell r="I11092">
            <v>202.54419886258029</v>
          </cell>
        </row>
        <row r="11103">
          <cell r="I11103">
            <v>0</v>
          </cell>
        </row>
        <row r="11114">
          <cell r="I11114">
            <v>195.40983561643836</v>
          </cell>
        </row>
        <row r="11125">
          <cell r="I11125">
            <v>13.139726027397261</v>
          </cell>
        </row>
        <row r="11136">
          <cell r="I11136">
            <v>749.64951625726303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146.74661643835623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318.116.350,41</v>
          </cell>
          <cell r="N2" t="str">
            <v>35.475.755,55</v>
          </cell>
        </row>
      </sheetData>
      <sheetData sheetId="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4276.510574018127</v>
          </cell>
        </row>
        <row r="224">
          <cell r="I224">
            <v>4552.8608845921426</v>
          </cell>
        </row>
        <row r="257">
          <cell r="I257">
            <v>14299.710171428571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49.398885337392215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147.38520365296799</v>
          </cell>
        </row>
        <row r="11081">
          <cell r="I11081">
            <v>22.010800000000025</v>
          </cell>
        </row>
        <row r="11092">
          <cell r="I11092">
            <v>419.18494650388595</v>
          </cell>
        </row>
        <row r="11103">
          <cell r="I11103">
            <v>0</v>
          </cell>
        </row>
        <row r="11114">
          <cell r="I11114">
            <v>195.40983561643841</v>
          </cell>
        </row>
        <row r="11125">
          <cell r="I11125">
            <v>13.139726027397261</v>
          </cell>
        </row>
        <row r="11136">
          <cell r="I11136">
            <v>603.39628530449454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53.81438356164383</v>
          </cell>
        </row>
        <row r="11213">
          <cell r="I11213">
            <v>8.9981858188160011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339.102.521,44</v>
          </cell>
          <cell r="N2" t="str">
            <v>35.475.755,55</v>
          </cell>
        </row>
      </sheetData>
      <sheetData sheetId="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18.081570996978851</v>
          </cell>
        </row>
        <row r="26">
          <cell r="I26">
            <v>90.407854984894257</v>
          </cell>
        </row>
        <row r="48">
          <cell r="I48">
            <v>1509.049999999995</v>
          </cell>
        </row>
        <row r="59">
          <cell r="I59">
            <v>1710.95</v>
          </cell>
        </row>
        <row r="81">
          <cell r="I81">
            <v>2314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2745</v>
          </cell>
        </row>
        <row r="158">
          <cell r="I158">
            <v>2775.9478851963745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4027.9741776435067</v>
          </cell>
        </row>
        <row r="224">
          <cell r="I224">
            <v>4276.510574018127</v>
          </cell>
        </row>
        <row r="257">
          <cell r="I257">
            <v>14299.710171428575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32.306767123287706</v>
          </cell>
        </row>
        <row r="11004">
          <cell r="I11004">
            <v>0</v>
          </cell>
        </row>
        <row r="11015">
          <cell r="I11015">
            <v>124.59578082191766</v>
          </cell>
        </row>
        <row r="11026">
          <cell r="I11026">
            <v>49.398885337392215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31.18755799086756</v>
          </cell>
        </row>
        <row r="11092">
          <cell r="I11092">
            <v>416.4517784432872</v>
          </cell>
        </row>
        <row r="11103">
          <cell r="I11103">
            <v>0</v>
          </cell>
        </row>
        <row r="11114">
          <cell r="I11114">
            <v>195.40983561643833</v>
          </cell>
        </row>
        <row r="11125">
          <cell r="I11125">
            <v>13.139726027397261</v>
          </cell>
        </row>
        <row r="11136">
          <cell r="I11136">
            <v>552.02147646459696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64.845440000000636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333.061.767,19</v>
          </cell>
          <cell r="N2" t="str">
            <v>35.475.755,55</v>
          </cell>
        </row>
      </sheetData>
      <sheetData sheetId="7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180.81570996978851</v>
          </cell>
        </row>
        <row r="48">
          <cell r="I48">
            <v>537.4424555891228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335.70000000000016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14299.710171428565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152.08780365296812</v>
          </cell>
        </row>
        <row r="11081">
          <cell r="I11081">
            <v>17.308200000000028</v>
          </cell>
        </row>
        <row r="11092">
          <cell r="I11092">
            <v>416.86246007483646</v>
          </cell>
        </row>
        <row r="11103">
          <cell r="I11103">
            <v>0</v>
          </cell>
        </row>
        <row r="11114">
          <cell r="I11114">
            <v>195.40983561643844</v>
          </cell>
        </row>
        <row r="11125">
          <cell r="I11125">
            <v>13.139726027397261</v>
          </cell>
        </row>
        <row r="11136">
          <cell r="I11136">
            <v>575.86275902050704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53.814383561643922</v>
          </cell>
        </row>
        <row r="11213">
          <cell r="I11213">
            <v>8.8379223747043696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338.855.372,62</v>
          </cell>
          <cell r="N2" t="str">
            <v>35.475.755,55</v>
          </cell>
        </row>
      </sheetData>
      <sheetData sheetId="7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14299.710171428564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33.495952885404776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51.881635210553029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144.55949267023308</v>
          </cell>
        </row>
        <row r="11081">
          <cell r="I11081">
            <v>0</v>
          </cell>
        </row>
        <row r="11092">
          <cell r="I11092">
            <v>400.47705928837183</v>
          </cell>
        </row>
        <row r="11103">
          <cell r="I11103">
            <v>0</v>
          </cell>
        </row>
        <row r="11114">
          <cell r="I11114">
            <v>189.77244437486922</v>
          </cell>
        </row>
        <row r="11125">
          <cell r="I11125">
            <v>13.139726027397261</v>
          </cell>
        </row>
        <row r="11136">
          <cell r="I11136">
            <v>656.49760993343659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71.898347862848667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357.044.878,44</v>
          </cell>
          <cell r="N2" t="str">
            <v>35.475.755,55</v>
          </cell>
        </row>
      </sheetData>
      <sheetData sheetId="7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656.79456193353474</v>
          </cell>
        </row>
        <row r="59">
          <cell r="I59">
            <v>856.02402658609935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4000</v>
          </cell>
        </row>
        <row r="224">
          <cell r="I224">
            <v>4000.0000000000005</v>
          </cell>
        </row>
        <row r="257">
          <cell r="I257">
            <v>14299.710171428569</v>
          </cell>
        </row>
        <row r="10960">
          <cell r="I10960">
            <v>48.78993417602625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140.4931963470319</v>
          </cell>
        </row>
        <row r="11081">
          <cell r="I11081">
            <v>62.308200000000028</v>
          </cell>
        </row>
        <row r="11092">
          <cell r="I11092">
            <v>502.55727254725991</v>
          </cell>
        </row>
        <row r="11103">
          <cell r="I11103">
            <v>0</v>
          </cell>
        </row>
        <row r="11114">
          <cell r="I11114">
            <v>195.40983561643839</v>
          </cell>
        </row>
        <row r="11125">
          <cell r="I11125">
            <v>13.139726027397261</v>
          </cell>
        </row>
        <row r="11136">
          <cell r="I11136">
            <v>674.82389978084473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365.024.443,78</v>
          </cell>
          <cell r="N2" t="str">
            <v>35.475.755,55</v>
          </cell>
        </row>
      </sheetData>
      <sheetData sheetId="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198.89728096676737</v>
          </cell>
        </row>
        <row r="26">
          <cell r="I26">
            <v>264</v>
          </cell>
        </row>
        <row r="48">
          <cell r="I48">
            <v>798.46752265861028</v>
          </cell>
        </row>
        <row r="59">
          <cell r="I59">
            <v>987.36480362537759</v>
          </cell>
        </row>
        <row r="81">
          <cell r="I81">
            <v>2314</v>
          </cell>
        </row>
        <row r="114">
          <cell r="I114">
            <v>241.916918429003</v>
          </cell>
        </row>
        <row r="125">
          <cell r="I125">
            <v>261.88670694864049</v>
          </cell>
        </row>
        <row r="147">
          <cell r="I147">
            <v>2813.0853474320243</v>
          </cell>
        </row>
        <row r="158">
          <cell r="I158">
            <v>2837.843655589124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4601.4928422960711</v>
          </cell>
        </row>
        <row r="224">
          <cell r="I224">
            <v>4829.5317220543802</v>
          </cell>
        </row>
        <row r="257">
          <cell r="I257">
            <v>14299.710171428571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3.7385797260273304</v>
          </cell>
        </row>
        <row r="10993">
          <cell r="I10993">
            <v>38.306767123287671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131.19135091134521</v>
          </cell>
        </row>
        <row r="11081">
          <cell r="I11081">
            <v>67.010800000000046</v>
          </cell>
        </row>
        <row r="11092">
          <cell r="I11092">
            <v>489.96270697408852</v>
          </cell>
        </row>
        <row r="11103">
          <cell r="I11103">
            <v>0</v>
          </cell>
        </row>
        <row r="11114">
          <cell r="I11114">
            <v>171.60106849315073</v>
          </cell>
        </row>
        <row r="11125">
          <cell r="I11125">
            <v>13.139726027397261</v>
          </cell>
        </row>
        <row r="11136">
          <cell r="I11136">
            <v>612.45563439935711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128.48516818648343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121.56063637462276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355.294.099,55</v>
          </cell>
          <cell r="N2" t="str">
            <v>35.475.755,55</v>
          </cell>
        </row>
      </sheetData>
      <sheetData sheetId="7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609.57024169184285</v>
          </cell>
        </row>
        <row r="59">
          <cell r="I59">
            <v>798.46752265861028</v>
          </cell>
        </row>
        <row r="81">
          <cell r="I81">
            <v>2783.414509969788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2813.0853474320243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4608.3232628398791</v>
          </cell>
        </row>
        <row r="257">
          <cell r="I257">
            <v>14299.710171428576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94.493196347031983</v>
          </cell>
        </row>
        <row r="11081">
          <cell r="I11081">
            <v>44.020348435617827</v>
          </cell>
        </row>
        <row r="11092">
          <cell r="I11092">
            <v>455.54235754298298</v>
          </cell>
        </row>
        <row r="11103">
          <cell r="I11103">
            <v>0</v>
          </cell>
        </row>
        <row r="11114">
          <cell r="I11114">
            <v>158.4990821917809</v>
          </cell>
        </row>
        <row r="11125">
          <cell r="I11125">
            <v>13.139726027397261</v>
          </cell>
        </row>
        <row r="11136">
          <cell r="I11136">
            <v>626.21180339727334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71.898347862848993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340.807.897,37</v>
          </cell>
          <cell r="N2" t="str">
            <v>35.475.755,55</v>
          </cell>
        </row>
      </sheetData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92">
          <cell r="I92">
            <v>4348.29054054054</v>
          </cell>
        </row>
        <row r="114">
          <cell r="I114">
            <v>187</v>
          </cell>
        </row>
        <row r="125">
          <cell r="I125">
            <v>187.00000000000048</v>
          </cell>
        </row>
        <row r="147">
          <cell r="I147">
            <v>2839.9227799227801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4818.9425962934329</v>
          </cell>
        </row>
        <row r="224">
          <cell r="I224">
            <v>5130.8108108108108</v>
          </cell>
        </row>
        <row r="257">
          <cell r="I257">
            <v>6165.6596571428718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19.921939726027343</v>
          </cell>
        </row>
        <row r="10993">
          <cell r="I10993">
            <v>37.292232876712291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497.12419373001711</v>
          </cell>
        </row>
        <row r="11103">
          <cell r="I11103">
            <v>0</v>
          </cell>
        </row>
        <row r="11114">
          <cell r="I11114">
            <v>218.65376438356174</v>
          </cell>
        </row>
        <row r="11125">
          <cell r="I11125">
            <v>13.139726027397261</v>
          </cell>
        </row>
        <row r="11136">
          <cell r="I11136">
            <v>993.3098169644345</v>
          </cell>
        </row>
        <row r="11147">
          <cell r="I11147">
            <v>88.854039999999941</v>
          </cell>
        </row>
        <row r="11158">
          <cell r="I11158">
            <v>0</v>
          </cell>
        </row>
        <row r="11169">
          <cell r="I11169">
            <v>63.287671232876718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146.77918356164392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2788.3270392749246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4411.0818060422935</v>
          </cell>
        </row>
        <row r="224">
          <cell r="I224">
            <v>4663.6253776435042</v>
          </cell>
        </row>
        <row r="257">
          <cell r="I257">
            <v>14299.71017142858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38.306767123287685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49.398885337392215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148.50426698256575</v>
          </cell>
        </row>
        <row r="11081">
          <cell r="I11081">
            <v>62.308199999999999</v>
          </cell>
        </row>
        <row r="11092">
          <cell r="I11092">
            <v>435.65909948992942</v>
          </cell>
        </row>
        <row r="11103">
          <cell r="I11103">
            <v>0</v>
          </cell>
        </row>
        <row r="11114">
          <cell r="I11114">
            <v>132.62901302859552</v>
          </cell>
        </row>
        <row r="11125">
          <cell r="I11125">
            <v>13.139726027397261</v>
          </cell>
        </row>
        <row r="11136">
          <cell r="I11136">
            <v>604.45384137845906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43.372159999999866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342.730.760,08</v>
          </cell>
          <cell r="N2" t="str">
            <v>35.475.755,55</v>
          </cell>
        </row>
      </sheetData>
      <sheetData sheetId="7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14299.710171428567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34.209767123287669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94.493196347031812</v>
          </cell>
        </row>
        <row r="11081">
          <cell r="I11081">
            <v>22.01080000000001</v>
          </cell>
        </row>
        <row r="11092">
          <cell r="I11092">
            <v>460.4507186432046</v>
          </cell>
        </row>
        <row r="11103">
          <cell r="I11103">
            <v>0</v>
          </cell>
        </row>
        <row r="11114">
          <cell r="I11114">
            <v>189.05863013698638</v>
          </cell>
        </row>
        <row r="11125">
          <cell r="I11125">
            <v>13.139726027397261</v>
          </cell>
        </row>
        <row r="11136">
          <cell r="I11136">
            <v>631.76222635799945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71.898347862848823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341.789.350,43</v>
          </cell>
          <cell r="N2" t="str">
            <v>35.475.755,55</v>
          </cell>
        </row>
      </sheetData>
      <sheetData sheetId="7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3653.7042880268154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6165.6514285714256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124.55607766783663</v>
          </cell>
        </row>
        <row r="11092">
          <cell r="I11092">
            <v>502.48761996670981</v>
          </cell>
        </row>
        <row r="11103">
          <cell r="I11103">
            <v>21.698630136986303</v>
          </cell>
        </row>
        <row r="11114">
          <cell r="I11114">
            <v>188.83346849315086</v>
          </cell>
        </row>
        <row r="11125">
          <cell r="I11125">
            <v>13.139726027397261</v>
          </cell>
        </row>
        <row r="11136">
          <cell r="I11136">
            <v>818.0627117968827</v>
          </cell>
        </row>
        <row r="11147">
          <cell r="I11147">
            <v>139.83561643835617</v>
          </cell>
        </row>
        <row r="11158">
          <cell r="I11158">
            <v>18.179303561643806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326.651.341,53</v>
          </cell>
          <cell r="N2" t="str">
            <v>71.948.395,79</v>
          </cell>
        </row>
      </sheetData>
      <sheetData sheetId="7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231.08108108108104</v>
          </cell>
        </row>
        <row r="26">
          <cell r="I26">
            <v>335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114">
          <cell r="I114">
            <v>250.8030888030888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3260.3465250965269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4761.5102725827983</v>
          </cell>
        </row>
        <row r="224">
          <cell r="I224">
            <v>5060.135135135135</v>
          </cell>
        </row>
        <row r="257">
          <cell r="I257">
            <v>6165.6514285714275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56.97433446981222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81.312520000000006</v>
          </cell>
        </row>
        <row r="11092">
          <cell r="I11092">
            <v>420.76389511381876</v>
          </cell>
        </row>
        <row r="11103">
          <cell r="I11103">
            <v>21.698630136986303</v>
          </cell>
        </row>
        <row r="11114">
          <cell r="I11114">
            <v>193.9334684931504</v>
          </cell>
        </row>
        <row r="11125">
          <cell r="I11125">
            <v>13.139726027397261</v>
          </cell>
        </row>
        <row r="11136">
          <cell r="I11136">
            <v>867.63411136522473</v>
          </cell>
        </row>
        <row r="11147">
          <cell r="I11147">
            <v>139.83561643835617</v>
          </cell>
        </row>
        <row r="11158">
          <cell r="I11158">
            <v>18.443858289521256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0.70160000000003464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140.15096000000003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312.414.743,93</v>
          </cell>
          <cell r="N2" t="str">
            <v>71.948.395,79</v>
          </cell>
        </row>
      </sheetData>
      <sheetData sheetId="7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277.29729729729723</v>
          </cell>
        </row>
        <row r="48">
          <cell r="I48">
            <v>761.81853281853284</v>
          </cell>
        </row>
        <row r="59">
          <cell r="I59">
            <v>1047.3447921235581</v>
          </cell>
        </row>
        <row r="81">
          <cell r="I81">
            <v>3185.8388030888032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5176.7999999999929</v>
          </cell>
        </row>
        <row r="224">
          <cell r="I224">
            <v>6327.2000000000007</v>
          </cell>
        </row>
        <row r="257">
          <cell r="I257">
            <v>6165.6514285714329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28.173813698630138</v>
          </cell>
        </row>
        <row r="11004">
          <cell r="I11004">
            <v>0</v>
          </cell>
        </row>
        <row r="11015">
          <cell r="I11015">
            <v>79.766204366907402</v>
          </cell>
        </row>
        <row r="11026">
          <cell r="I11026">
            <v>45.807186078132972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155.32807634703198</v>
          </cell>
        </row>
        <row r="11081">
          <cell r="I11081">
            <v>48.00648000000001</v>
          </cell>
        </row>
        <row r="11092">
          <cell r="I11092">
            <v>439.50480081164545</v>
          </cell>
        </row>
        <row r="11103">
          <cell r="I11103">
            <v>8.8891105962328645</v>
          </cell>
        </row>
        <row r="11114">
          <cell r="I11114">
            <v>138.81346849315068</v>
          </cell>
        </row>
        <row r="11125">
          <cell r="I11125">
            <v>13.139726027397261</v>
          </cell>
        </row>
        <row r="11136">
          <cell r="I11136">
            <v>855.51918689656861</v>
          </cell>
        </row>
        <row r="11147">
          <cell r="I11147">
            <v>138.55344000000005</v>
          </cell>
        </row>
        <row r="11158">
          <cell r="I11158">
            <v>9.2130400000000137</v>
          </cell>
        </row>
        <row r="11169">
          <cell r="I11169">
            <v>63.287671232876711</v>
          </cell>
        </row>
        <row r="11180">
          <cell r="I11180">
            <v>77.219430136986205</v>
          </cell>
        </row>
        <row r="11191">
          <cell r="I11191">
            <v>0</v>
          </cell>
        </row>
        <row r="11202">
          <cell r="I11202">
            <v>89.666216438356358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148.19644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300.030.251,95</v>
          </cell>
          <cell r="N2" t="str">
            <v>71.948.395,79</v>
          </cell>
        </row>
      </sheetData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46.21621621621621</v>
          </cell>
        </row>
        <row r="26">
          <cell r="I26">
            <v>138.64864864864862</v>
          </cell>
        </row>
        <row r="48">
          <cell r="I48">
            <v>399.70463320463318</v>
          </cell>
        </row>
        <row r="59">
          <cell r="I59">
            <v>701.46621621621625</v>
          </cell>
        </row>
        <row r="81">
          <cell r="I81">
            <v>5044.5000000000073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2760.8204633204632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4141.3513513513517</v>
          </cell>
        </row>
        <row r="224">
          <cell r="I224">
            <v>4468.1248500386018</v>
          </cell>
        </row>
        <row r="257">
          <cell r="I257">
            <v>6165.6514285714193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127.74050836802564</v>
          </cell>
        </row>
        <row r="11092">
          <cell r="I11092">
            <v>314.08621081304653</v>
          </cell>
        </row>
        <row r="11103">
          <cell r="I11103">
            <v>21.698630136986303</v>
          </cell>
        </row>
        <row r="11114">
          <cell r="I11114">
            <v>150.41115866412574</v>
          </cell>
        </row>
        <row r="11125">
          <cell r="I11125">
            <v>13.139726027397261</v>
          </cell>
        </row>
        <row r="11136">
          <cell r="I11136">
            <v>798.97255731427379</v>
          </cell>
        </row>
        <row r="11147">
          <cell r="I11147">
            <v>127.54932504998284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302.550.591,69</v>
          </cell>
          <cell r="N2" t="str">
            <v>71.948.395,79</v>
          </cell>
        </row>
      </sheetData>
      <sheetData sheetId="7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954.36307181059715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6165.6514285714211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6.2202328767123545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142.31251999999998</v>
          </cell>
        </row>
        <row r="11092">
          <cell r="I11092">
            <v>492.25364272340505</v>
          </cell>
        </row>
        <row r="11103">
          <cell r="I11103">
            <v>21.698630136986303</v>
          </cell>
        </row>
        <row r="11114">
          <cell r="I11114">
            <v>188.83346849315069</v>
          </cell>
        </row>
        <row r="11125">
          <cell r="I11125">
            <v>13.139726027397261</v>
          </cell>
        </row>
        <row r="11136">
          <cell r="I11136">
            <v>911.00851343817385</v>
          </cell>
        </row>
        <row r="11147">
          <cell r="I11147">
            <v>135.21496000000005</v>
          </cell>
        </row>
        <row r="11158">
          <cell r="I11158">
            <v>22.799959999999977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95.00026751642379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324.981.277,45</v>
          </cell>
          <cell r="N2" t="str">
            <v>71.948.395,79</v>
          </cell>
        </row>
      </sheetData>
      <sheetData sheetId="7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323.51351351351349</v>
          </cell>
        </row>
        <row r="48">
          <cell r="I48">
            <v>1448.9999999999989</v>
          </cell>
        </row>
        <row r="59">
          <cell r="I59">
            <v>1771.0000000000002</v>
          </cell>
        </row>
        <row r="81">
          <cell r="I81">
            <v>3395.9591743629367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6165.651428571442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99.544027945204164</v>
          </cell>
        </row>
        <row r="11092">
          <cell r="I11092">
            <v>555.19216469669459</v>
          </cell>
        </row>
        <row r="11103">
          <cell r="I11103">
            <v>8.8891105962328254</v>
          </cell>
        </row>
        <row r="11114">
          <cell r="I11114">
            <v>164.1852778082191</v>
          </cell>
        </row>
        <row r="11125">
          <cell r="I11125">
            <v>13.139726027397261</v>
          </cell>
        </row>
        <row r="11136">
          <cell r="I11136">
            <v>777.50968593413404</v>
          </cell>
        </row>
        <row r="11147">
          <cell r="I11147">
            <v>139.83561643835617</v>
          </cell>
        </row>
        <row r="11158">
          <cell r="I11158">
            <v>14.166463561643951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130.32318356164379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319.032.589,59</v>
          </cell>
          <cell r="N2" t="str">
            <v>71.948.395,79</v>
          </cell>
        </row>
      </sheetData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942.87548262548262</v>
          </cell>
        </row>
        <row r="59">
          <cell r="I59">
            <v>1219.114037061564</v>
          </cell>
        </row>
        <row r="81">
          <cell r="I81">
            <v>3621.7582046332045</v>
          </cell>
        </row>
        <row r="114">
          <cell r="I114">
            <v>335.69999999999982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2863.6534749034749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6165.6514285714384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81.312519999999978</v>
          </cell>
        </row>
        <row r="11092">
          <cell r="I11092">
            <v>505.83885284342216</v>
          </cell>
        </row>
        <row r="11103">
          <cell r="I11103">
            <v>21.698630136986303</v>
          </cell>
        </row>
        <row r="11114">
          <cell r="I11114">
            <v>193.93346849315083</v>
          </cell>
        </row>
        <row r="11125">
          <cell r="I11125">
            <v>13.139726027397261</v>
          </cell>
        </row>
        <row r="11136">
          <cell r="I11136">
            <v>845.75242344705237</v>
          </cell>
        </row>
        <row r="11147">
          <cell r="I11147">
            <v>139.83561643835617</v>
          </cell>
        </row>
        <row r="11158">
          <cell r="I11158">
            <v>18.179303561643852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3.6282675164239748</v>
          </cell>
        </row>
        <row r="11202">
          <cell r="I11202">
            <v>130.32318356164399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325.078.311,58</v>
          </cell>
          <cell r="N2" t="str">
            <v>71.948.395,79</v>
          </cell>
        </row>
      </sheetData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277.29729729729723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6165.6514285714229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26.688998356164731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142.31252000000012</v>
          </cell>
        </row>
        <row r="11092">
          <cell r="I11092">
            <v>535.55929653222302</v>
          </cell>
        </row>
        <row r="11103">
          <cell r="I11103">
            <v>21.698630136986303</v>
          </cell>
        </row>
        <row r="11114">
          <cell r="I11114">
            <v>193.93346849315088</v>
          </cell>
        </row>
        <row r="11125">
          <cell r="I11125">
            <v>13.139726027397261</v>
          </cell>
        </row>
        <row r="11136">
          <cell r="I11136">
            <v>898.78583780093538</v>
          </cell>
        </row>
        <row r="11147">
          <cell r="I11147">
            <v>137.39596</v>
          </cell>
        </row>
        <row r="11158">
          <cell r="I11158">
            <v>22.799959999999977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339.569.195,49</v>
          </cell>
          <cell r="N2" t="str">
            <v>71.948.395,79</v>
          </cell>
        </row>
      </sheetData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105.6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2717.1407365558898</v>
          </cell>
        </row>
        <row r="92">
          <cell r="I92">
            <v>3223.5921450151059</v>
          </cell>
        </row>
        <row r="114">
          <cell r="I114">
            <v>211.96223564954681</v>
          </cell>
        </row>
        <row r="125">
          <cell r="I125">
            <v>236.92447129909365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14299.710171428573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32.306767123287678</v>
          </cell>
        </row>
        <row r="11004">
          <cell r="I11004">
            <v>0</v>
          </cell>
        </row>
        <row r="11015">
          <cell r="I11015">
            <v>121.94378082191783</v>
          </cell>
        </row>
        <row r="11026">
          <cell r="I11026">
            <v>51.881635210553007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95.31508943753407</v>
          </cell>
        </row>
        <row r="11081">
          <cell r="I11081">
            <v>22.010799999999989</v>
          </cell>
        </row>
        <row r="11092">
          <cell r="I11092">
            <v>446.0671549360568</v>
          </cell>
        </row>
        <row r="11103">
          <cell r="I11103">
            <v>0</v>
          </cell>
        </row>
        <row r="11114">
          <cell r="I11114">
            <v>195.40983561643841</v>
          </cell>
        </row>
        <row r="11125">
          <cell r="I11125">
            <v>13.139726027397261</v>
          </cell>
        </row>
        <row r="11136">
          <cell r="I11136">
            <v>649.38683054622118</v>
          </cell>
        </row>
        <row r="11147">
          <cell r="I11147">
            <v>66.443839999999994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1184.284749034749</v>
          </cell>
        </row>
        <row r="59">
          <cell r="I59">
            <v>1486.0463320463321</v>
          </cell>
        </row>
        <row r="81">
          <cell r="I81">
            <v>4304.223914796441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6165.6514285714193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600.86165038925867</v>
          </cell>
        </row>
        <row r="11103">
          <cell r="I11103">
            <v>21.698630136986303</v>
          </cell>
        </row>
        <row r="11114">
          <cell r="I11114">
            <v>225.98376438356172</v>
          </cell>
        </row>
        <row r="11125">
          <cell r="I11125">
            <v>13.139726027397261</v>
          </cell>
        </row>
        <row r="11136">
          <cell r="I11136">
            <v>828.44803999490011</v>
          </cell>
        </row>
        <row r="11147">
          <cell r="I11147">
            <v>114.32793369863012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161.66138136986388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347.376.844,85</v>
          </cell>
          <cell r="N2" t="str">
            <v>71.948.395,79</v>
          </cell>
        </row>
      </sheetData>
      <sheetData sheetId="7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1419.8137153112375</v>
          </cell>
        </row>
        <row r="59">
          <cell r="I59">
            <v>1771.0000000000002</v>
          </cell>
        </row>
        <row r="81">
          <cell r="I81">
            <v>2314</v>
          </cell>
        </row>
        <row r="114">
          <cell r="I114">
            <v>301.84555984555982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3252.4362934362998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5176.7999999999975</v>
          </cell>
        </row>
        <row r="224">
          <cell r="I224">
            <v>6327.2000000000007</v>
          </cell>
        </row>
        <row r="257">
          <cell r="I257">
            <v>6165.6514285714193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91.848334246575348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71.135268054403468</v>
          </cell>
        </row>
        <row r="11092">
          <cell r="I11092">
            <v>529.50213992892691</v>
          </cell>
        </row>
        <row r="11103">
          <cell r="I11103">
            <v>21.698630136986303</v>
          </cell>
        </row>
        <row r="11114">
          <cell r="I11114">
            <v>147.59286986301342</v>
          </cell>
        </row>
        <row r="11125">
          <cell r="I11125">
            <v>13.139726027397261</v>
          </cell>
        </row>
        <row r="11136">
          <cell r="I11136">
            <v>833.35695019236027</v>
          </cell>
        </row>
        <row r="11147">
          <cell r="I11147">
            <v>138.55344000000005</v>
          </cell>
        </row>
        <row r="11158">
          <cell r="I11158">
            <v>9.2130400000000172</v>
          </cell>
        </row>
        <row r="11169">
          <cell r="I11169">
            <v>63.287671232876711</v>
          </cell>
        </row>
        <row r="11180">
          <cell r="I11180">
            <v>106.00174633933128</v>
          </cell>
        </row>
        <row r="11191">
          <cell r="I11191">
            <v>10.307452054794521</v>
          </cell>
        </row>
        <row r="11202">
          <cell r="I11202">
            <v>89.666216438356471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32.664317020205573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341.745.371,09</v>
          </cell>
          <cell r="N2" t="str">
            <v>71.948.395,79</v>
          </cell>
        </row>
      </sheetData>
      <sheetData sheetId="7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1063.5801158301158</v>
          </cell>
        </row>
        <row r="59">
          <cell r="I59">
            <v>1304.9893822393822</v>
          </cell>
        </row>
        <row r="81">
          <cell r="I81">
            <v>3806.949944397471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6165.6514285714147</v>
          </cell>
        </row>
        <row r="10960">
          <cell r="I10960">
            <v>189.89902600307192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32.785527123287721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142.31251999999995</v>
          </cell>
        </row>
        <row r="11092">
          <cell r="I11092">
            <v>510.39785162694125</v>
          </cell>
        </row>
        <row r="11103">
          <cell r="I11103">
            <v>21.698630136986303</v>
          </cell>
        </row>
        <row r="11114">
          <cell r="I11114">
            <v>196.43346849315085</v>
          </cell>
        </row>
        <row r="11125">
          <cell r="I11125">
            <v>13.139726027397261</v>
          </cell>
        </row>
        <row r="11136">
          <cell r="I11136">
            <v>879.47041980691552</v>
          </cell>
        </row>
        <row r="11147">
          <cell r="I11147">
            <v>135.21496000000002</v>
          </cell>
        </row>
        <row r="11158">
          <cell r="I11158">
            <v>22.799959999999974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128.84621643835624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148.73522377532123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327.213.824,08</v>
          </cell>
          <cell r="N2" t="str">
            <v>71.948.395,79</v>
          </cell>
        </row>
      </sheetData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279</v>
          </cell>
        </row>
        <row r="59">
          <cell r="I59">
            <v>308.09135366388028</v>
          </cell>
        </row>
        <row r="81">
          <cell r="I81">
            <v>4202.9840733590736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6165.6514285714456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563.93510319054542</v>
          </cell>
        </row>
        <row r="11103">
          <cell r="I11103">
            <v>21.698630136986303</v>
          </cell>
        </row>
        <row r="11114">
          <cell r="I11114">
            <v>202.18527780821947</v>
          </cell>
        </row>
        <row r="11125">
          <cell r="I11125">
            <v>13.139726027397261</v>
          </cell>
        </row>
        <row r="11136">
          <cell r="I11136">
            <v>960.57181624019643</v>
          </cell>
        </row>
        <row r="11147">
          <cell r="I11147">
            <v>135.21496000000002</v>
          </cell>
        </row>
        <row r="11158">
          <cell r="I11158">
            <v>22.79995999999997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329.604.019,79</v>
          </cell>
          <cell r="N2" t="str">
            <v>71.948.395,79</v>
          </cell>
        </row>
      </sheetData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187</v>
          </cell>
        </row>
        <row r="125">
          <cell r="I125">
            <v>187.00000000000037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4836.3403884129157</v>
          </cell>
        </row>
        <row r="224">
          <cell r="I224">
            <v>5130.8108108108108</v>
          </cell>
        </row>
        <row r="257">
          <cell r="I257">
            <v>6165.6514285714293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81.312519999999978</v>
          </cell>
        </row>
        <row r="11092">
          <cell r="I11092">
            <v>511.51629537703479</v>
          </cell>
        </row>
        <row r="11103">
          <cell r="I11103">
            <v>21.698630136986303</v>
          </cell>
        </row>
        <row r="11114">
          <cell r="I11114">
            <v>193.93346849315083</v>
          </cell>
        </row>
        <row r="11125">
          <cell r="I11125">
            <v>13.139726027397261</v>
          </cell>
        </row>
        <row r="11136">
          <cell r="I11136">
            <v>956.68738819413034</v>
          </cell>
        </row>
        <row r="11147">
          <cell r="I11147">
            <v>137.39596000000003</v>
          </cell>
        </row>
        <row r="11158">
          <cell r="I11158">
            <v>22.799959999999977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0.70160000000003109</v>
          </cell>
        </row>
        <row r="11202">
          <cell r="I11202">
            <v>130.3231835616439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327.620.435,81</v>
          </cell>
          <cell r="N2" t="str">
            <v>71.948.395,79</v>
          </cell>
        </row>
      </sheetData>
      <sheetData sheetId="7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14223.844769725041</v>
          </cell>
        </row>
        <row r="10960">
          <cell r="I10960">
            <v>146.58623013698647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44.070160324708311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81.308199999999999</v>
          </cell>
        </row>
        <row r="11092">
          <cell r="I11092">
            <v>385.06852496667335</v>
          </cell>
        </row>
        <row r="11103">
          <cell r="I11103">
            <v>0</v>
          </cell>
        </row>
        <row r="11114">
          <cell r="I11114">
            <v>134.10528054794531</v>
          </cell>
        </row>
        <row r="11125">
          <cell r="I11125">
            <v>13.139726027397261</v>
          </cell>
        </row>
        <row r="11136">
          <cell r="I11136">
            <v>518.14306520579225</v>
          </cell>
        </row>
        <row r="11147">
          <cell r="I11147">
            <v>139.83561643835617</v>
          </cell>
        </row>
        <row r="11158">
          <cell r="I11158">
            <v>12.141839999999984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45.138481450150934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339.985.632,47</v>
          </cell>
          <cell r="N2" t="str">
            <v>35.380.701,91</v>
          </cell>
        </row>
      </sheetData>
      <sheetData sheetId="7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746.9092576879259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3247.4714879154135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4276.510574018127</v>
          </cell>
        </row>
        <row r="224">
          <cell r="I224">
            <v>4497.7190332326281</v>
          </cell>
        </row>
        <row r="257">
          <cell r="I257">
            <v>14223.84476972505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21.062267123287683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30.027894469812246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48.010800000000017</v>
          </cell>
        </row>
        <row r="11092">
          <cell r="I11092">
            <v>186.3564143364386</v>
          </cell>
        </row>
        <row r="11103">
          <cell r="I11103">
            <v>0</v>
          </cell>
        </row>
        <row r="11114">
          <cell r="I11114">
            <v>145.21405664362652</v>
          </cell>
        </row>
        <row r="11125">
          <cell r="I11125">
            <v>13.139726027397261</v>
          </cell>
        </row>
        <row r="11136">
          <cell r="I11136">
            <v>604.69078594120504</v>
          </cell>
        </row>
        <row r="11147">
          <cell r="I11147">
            <v>139.83561643835617</v>
          </cell>
        </row>
        <row r="11158">
          <cell r="I11158">
            <v>12.141839999999984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150.9123120887827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5.4682234556646829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322.393.651,59</v>
          </cell>
          <cell r="N2" t="str">
            <v>35.380.701,91</v>
          </cell>
        </row>
      </sheetData>
      <sheetData sheetId="7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351.2869011924555</v>
          </cell>
        </row>
        <row r="81">
          <cell r="I81">
            <v>2314</v>
          </cell>
        </row>
        <row r="114">
          <cell r="I114">
            <v>187</v>
          </cell>
        </row>
        <row r="125">
          <cell r="I125">
            <v>187.0000000000002</v>
          </cell>
        </row>
        <row r="147">
          <cell r="I147">
            <v>2745</v>
          </cell>
        </row>
        <row r="158">
          <cell r="I158">
            <v>2745.0000000000036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5176.7999999999938</v>
          </cell>
        </row>
        <row r="224">
          <cell r="I224">
            <v>6327.2000000000007</v>
          </cell>
        </row>
        <row r="257">
          <cell r="I257">
            <v>14223.844769725041</v>
          </cell>
        </row>
        <row r="10960">
          <cell r="I10960">
            <v>164.00221648908507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19.249732876712358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74.010800000000032</v>
          </cell>
        </row>
        <row r="11092">
          <cell r="I11092">
            <v>291.41525590650883</v>
          </cell>
        </row>
        <row r="11103">
          <cell r="I11103">
            <v>0</v>
          </cell>
        </row>
        <row r="11114">
          <cell r="I11114">
            <v>112.30106849315072</v>
          </cell>
        </row>
        <row r="11125">
          <cell r="I11125">
            <v>13.139726027397261</v>
          </cell>
        </row>
        <row r="11136">
          <cell r="I11136">
            <v>736.52268303556514</v>
          </cell>
        </row>
        <row r="11147">
          <cell r="I11147">
            <v>128.40131999999994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92.4106164383563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309.148.721,81</v>
          </cell>
          <cell r="N2" t="str">
            <v>35.380.701,91</v>
          </cell>
        </row>
      </sheetData>
      <sheetData sheetId="7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3758.4303113133014</v>
          </cell>
        </row>
        <row r="114">
          <cell r="I114">
            <v>187</v>
          </cell>
        </row>
        <row r="125">
          <cell r="I125">
            <v>187.00000000000014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4000</v>
          </cell>
        </row>
        <row r="224">
          <cell r="I224">
            <v>4000.0000000000045</v>
          </cell>
        </row>
        <row r="257">
          <cell r="I257">
            <v>14223.844769725034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47.281037037037031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48.010799999999982</v>
          </cell>
        </row>
        <row r="11092">
          <cell r="I11092">
            <v>286.85064781780824</v>
          </cell>
        </row>
        <row r="11103">
          <cell r="I11103">
            <v>0</v>
          </cell>
        </row>
        <row r="11114">
          <cell r="I11114">
            <v>212.84141369863067</v>
          </cell>
        </row>
        <row r="11125">
          <cell r="I11125">
            <v>13.139726027397261</v>
          </cell>
        </row>
        <row r="11136">
          <cell r="I11136">
            <v>717.97653504030427</v>
          </cell>
        </row>
        <row r="11147">
          <cell r="I11147">
            <v>133.33315999999996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317.256.212,57</v>
          </cell>
          <cell r="N2" t="str">
            <v>35.380.701,91</v>
          </cell>
        </row>
      </sheetData>
      <sheetData sheetId="7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4276.510574018127</v>
          </cell>
        </row>
        <row r="224">
          <cell r="I224">
            <v>4510.1739857846096</v>
          </cell>
        </row>
        <row r="257">
          <cell r="I257">
            <v>14223.844769725043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19.049732876712341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110.91319634703197</v>
          </cell>
        </row>
        <row r="11081">
          <cell r="I11081">
            <v>48.010799999999996</v>
          </cell>
        </row>
        <row r="11092">
          <cell r="I11092">
            <v>394.52618949538169</v>
          </cell>
        </row>
        <row r="11103">
          <cell r="I11103">
            <v>0</v>
          </cell>
        </row>
        <row r="11114">
          <cell r="I11114">
            <v>133.04928855543025</v>
          </cell>
        </row>
        <row r="11125">
          <cell r="I11125">
            <v>13.139726027397261</v>
          </cell>
        </row>
        <row r="11136">
          <cell r="I11136">
            <v>580.75451989356986</v>
          </cell>
        </row>
        <row r="11147">
          <cell r="I11147">
            <v>139.83561643835617</v>
          </cell>
        </row>
        <row r="11158">
          <cell r="I11158">
            <v>21.095097127617127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5.4682234556650116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338.106.304,34</v>
          </cell>
          <cell r="N2" t="str">
            <v>35.380.701,91</v>
          </cell>
        </row>
      </sheetData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72.326283987915403</v>
          </cell>
        </row>
        <row r="26">
          <cell r="I26">
            <v>162.73413897280966</v>
          </cell>
        </row>
        <row r="48">
          <cell r="I48">
            <v>467.89728096676737</v>
          </cell>
        </row>
        <row r="59">
          <cell r="I59">
            <v>704.01888217522651</v>
          </cell>
        </row>
        <row r="81">
          <cell r="I81">
            <v>2603.3007818731126</v>
          </cell>
        </row>
        <row r="92">
          <cell r="I92">
            <v>3109.8931268882175</v>
          </cell>
        </row>
        <row r="114">
          <cell r="I114">
            <v>206.96978851963746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3247.471487915408</v>
          </cell>
        </row>
        <row r="180">
          <cell r="I180">
            <v>3063</v>
          </cell>
        </row>
        <row r="191">
          <cell r="I191">
            <v>3066.9999999999991</v>
          </cell>
        </row>
        <row r="213">
          <cell r="I213">
            <v>4221.2084592145011</v>
          </cell>
        </row>
        <row r="224">
          <cell r="I224">
            <v>4497.7190332326281</v>
          </cell>
        </row>
        <row r="257">
          <cell r="I257">
            <v>14299.710171428567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109.75742111079283</v>
          </cell>
        </row>
        <row r="11081">
          <cell r="I11081">
            <v>67.010800000000003</v>
          </cell>
        </row>
        <row r="11092">
          <cell r="I11092">
            <v>295.0642908899959</v>
          </cell>
        </row>
        <row r="11103">
          <cell r="I11103">
            <v>0</v>
          </cell>
        </row>
        <row r="11114">
          <cell r="I11114">
            <v>195.40983561643836</v>
          </cell>
        </row>
        <row r="11125">
          <cell r="I11125">
            <v>13.139726027397261</v>
          </cell>
        </row>
        <row r="11136">
          <cell r="I11136">
            <v>481.81815807295277</v>
          </cell>
        </row>
        <row r="11147">
          <cell r="I11147">
            <v>86.224699180599245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18.081570996978851</v>
          </cell>
        </row>
        <row r="26">
          <cell r="I26">
            <v>90.407854984894257</v>
          </cell>
        </row>
        <row r="48">
          <cell r="I48">
            <v>1448.9999999999957</v>
          </cell>
        </row>
        <row r="59">
          <cell r="I59">
            <v>1771.0000000000002</v>
          </cell>
        </row>
        <row r="81">
          <cell r="I81">
            <v>2314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2751.1895770392748</v>
          </cell>
        </row>
        <row r="158">
          <cell r="I158">
            <v>2775.9478851963745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4055.3021148036255</v>
          </cell>
        </row>
        <row r="224">
          <cell r="I224">
            <v>4276.510574018127</v>
          </cell>
        </row>
        <row r="257">
          <cell r="I257">
            <v>14223.844769725039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33.687732876712332</v>
          </cell>
        </row>
        <row r="11004">
          <cell r="I11004">
            <v>0</v>
          </cell>
        </row>
        <row r="11015">
          <cell r="I11015">
            <v>139.4130979571712</v>
          </cell>
        </row>
        <row r="11026">
          <cell r="I11026">
            <v>49.027894469812281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0</v>
          </cell>
        </row>
        <row r="11092">
          <cell r="I11092">
            <v>306.44682074569869</v>
          </cell>
        </row>
        <row r="11103">
          <cell r="I11103">
            <v>0</v>
          </cell>
        </row>
        <row r="11114">
          <cell r="I11114">
            <v>145.93526844762539</v>
          </cell>
        </row>
        <row r="11125">
          <cell r="I11125">
            <v>13.139726027397261</v>
          </cell>
        </row>
        <row r="11136">
          <cell r="I11136">
            <v>697.14424131488818</v>
          </cell>
        </row>
        <row r="11147">
          <cell r="I11147">
            <v>122.49316000000002</v>
          </cell>
        </row>
        <row r="11158">
          <cell r="I11158">
            <v>4.2331600000000229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332.354.290,74</v>
          </cell>
          <cell r="N2" t="str">
            <v>35.380.701,91</v>
          </cell>
        </row>
      </sheetData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180.81570996978851</v>
          </cell>
        </row>
        <row r="48">
          <cell r="I48">
            <v>523.0565386546931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335.70000000000022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14223.844769725049</v>
          </cell>
        </row>
        <row r="10960">
          <cell r="I10960">
            <v>96.326778082191964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35.662267123287677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44.070160324708304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48.010799999999975</v>
          </cell>
        </row>
        <row r="11092">
          <cell r="I11092">
            <v>454.01124989902962</v>
          </cell>
        </row>
        <row r="11103">
          <cell r="I11103">
            <v>0</v>
          </cell>
        </row>
        <row r="11114">
          <cell r="I11114">
            <v>131.80754520547941</v>
          </cell>
        </row>
        <row r="11125">
          <cell r="I11125">
            <v>13.139726027397261</v>
          </cell>
        </row>
        <row r="11136">
          <cell r="I11136">
            <v>553.97606446022598</v>
          </cell>
        </row>
        <row r="11147">
          <cell r="I11147">
            <v>139.83561643835617</v>
          </cell>
        </row>
        <row r="11158">
          <cell r="I11158">
            <v>12.141839999999984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151.68244665678651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39.539959999999894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338.166.135,85</v>
          </cell>
          <cell r="N2" t="str">
            <v>35.380.701,91</v>
          </cell>
        </row>
      </sheetData>
      <sheetData sheetId="7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4590.389242582195</v>
          </cell>
        </row>
        <row r="257">
          <cell r="I257">
            <v>14223.844769725047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35.662267123287705</v>
          </cell>
        </row>
        <row r="11004">
          <cell r="I11004">
            <v>0</v>
          </cell>
        </row>
        <row r="11015">
          <cell r="I11015">
            <v>162.37142465753425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48.010800000000046</v>
          </cell>
        </row>
        <row r="11092">
          <cell r="I11092">
            <v>329.74557952591977</v>
          </cell>
        </row>
        <row r="11103">
          <cell r="I11103">
            <v>0</v>
          </cell>
        </row>
        <row r="11114">
          <cell r="I11114">
            <v>148.40855452054819</v>
          </cell>
        </row>
        <row r="11125">
          <cell r="I11125">
            <v>13.139726027397261</v>
          </cell>
        </row>
        <row r="11136">
          <cell r="I11136">
            <v>489.26339569555444</v>
          </cell>
        </row>
        <row r="11147">
          <cell r="I11147">
            <v>139.83561643835617</v>
          </cell>
        </row>
        <row r="11158">
          <cell r="I11158">
            <v>12.141839999999977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42.704819096998634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356.417.712,38</v>
          </cell>
          <cell r="N2" t="str">
            <v>35.380.701,91</v>
          </cell>
        </row>
      </sheetData>
      <sheetData sheetId="7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235.06042296072508</v>
          </cell>
        </row>
        <row r="48">
          <cell r="I48">
            <v>689.95193140394088</v>
          </cell>
        </row>
        <row r="59">
          <cell r="I59">
            <v>892.91616314199393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251.90181268882174</v>
          </cell>
        </row>
        <row r="147">
          <cell r="I147">
            <v>2794.5166163141994</v>
          </cell>
        </row>
        <row r="158">
          <cell r="I158">
            <v>2825.4645015105739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4000</v>
          </cell>
        </row>
        <row r="224">
          <cell r="I224">
            <v>4000.0000000000018</v>
          </cell>
        </row>
        <row r="257">
          <cell r="I257">
            <v>14223.844769725047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44.467894469812265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424.5739185330105</v>
          </cell>
        </row>
        <row r="11070">
          <cell r="I11070">
            <v>170.81643835616438</v>
          </cell>
        </row>
        <row r="11081">
          <cell r="I11081">
            <v>81.308199999999829</v>
          </cell>
        </row>
        <row r="11092">
          <cell r="I11092">
            <v>298.77674377741818</v>
          </cell>
        </row>
        <row r="11103">
          <cell r="I11103">
            <v>0</v>
          </cell>
        </row>
        <row r="11114">
          <cell r="I11114">
            <v>195.15799726027407</v>
          </cell>
        </row>
        <row r="11125">
          <cell r="I11125">
            <v>13.139726027397261</v>
          </cell>
        </row>
        <row r="11136">
          <cell r="I11136">
            <v>579.67225850166244</v>
          </cell>
        </row>
        <row r="11147">
          <cell r="I11147">
            <v>139.83561643835617</v>
          </cell>
        </row>
        <row r="11158">
          <cell r="I11158">
            <v>27.816839999999996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160.64747945205485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6.2425600000000472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364.405.526,11</v>
          </cell>
          <cell r="N2" t="str">
            <v>35.380.701,91</v>
          </cell>
        </row>
      </sheetData>
      <sheetData sheetId="7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198.89728096676737</v>
          </cell>
        </row>
        <row r="26">
          <cell r="I26">
            <v>289.30513595166161</v>
          </cell>
        </row>
        <row r="48">
          <cell r="I48">
            <v>812.42360814110225</v>
          </cell>
        </row>
        <row r="59">
          <cell r="I59">
            <v>1034.5891238670695</v>
          </cell>
        </row>
        <row r="81">
          <cell r="I81">
            <v>2314</v>
          </cell>
        </row>
        <row r="114">
          <cell r="I114">
            <v>241.916918429003</v>
          </cell>
        </row>
        <row r="125">
          <cell r="I125">
            <v>266.87915407854985</v>
          </cell>
        </row>
        <row r="147">
          <cell r="I147">
            <v>2813.0853474320243</v>
          </cell>
        </row>
        <row r="158">
          <cell r="I158">
            <v>2844.0332326283988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4608.3232628398791</v>
          </cell>
        </row>
        <row r="224">
          <cell r="I224">
            <v>4884.8338368580062</v>
          </cell>
        </row>
        <row r="257">
          <cell r="I257">
            <v>14223.844769725049</v>
          </cell>
        </row>
        <row r="10960">
          <cell r="I10960">
            <v>160.69430057472337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25.049732876712355</v>
          </cell>
        </row>
        <row r="11004">
          <cell r="I11004">
            <v>0</v>
          </cell>
        </row>
        <row r="11015">
          <cell r="I11015">
            <v>80.812444206899727</v>
          </cell>
        </row>
        <row r="11026">
          <cell r="I11026">
            <v>49.331894469812276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42.819565296803638</v>
          </cell>
        </row>
        <row r="11092">
          <cell r="I11092">
            <v>528.13842453157918</v>
          </cell>
        </row>
        <row r="11103">
          <cell r="I11103">
            <v>0</v>
          </cell>
        </row>
        <row r="11114">
          <cell r="I11114">
            <v>128.11693150684937</v>
          </cell>
        </row>
        <row r="11125">
          <cell r="I11125">
            <v>13.139726027397261</v>
          </cell>
        </row>
        <row r="11136">
          <cell r="I11136">
            <v>702.1416014645672</v>
          </cell>
        </row>
        <row r="11147">
          <cell r="I11147">
            <v>139.83561643835617</v>
          </cell>
        </row>
        <row r="11158">
          <cell r="I11158">
            <v>4.7900635616438283</v>
          </cell>
        </row>
        <row r="11169">
          <cell r="I11169">
            <v>63.287671232876711</v>
          </cell>
        </row>
        <row r="11180">
          <cell r="I11180">
            <v>93.02656986301389</v>
          </cell>
        </row>
        <row r="11191">
          <cell r="I11191">
            <v>0</v>
          </cell>
        </row>
        <row r="11202">
          <cell r="I11202">
            <v>139.55838356164389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103.04737721610203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354.737.724,04</v>
          </cell>
          <cell r="N2" t="str">
            <v>35.380.701,91</v>
          </cell>
        </row>
      </sheetData>
      <sheetData sheetId="7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609.57024169184285</v>
          </cell>
        </row>
        <row r="59">
          <cell r="I59">
            <v>798.46752265861028</v>
          </cell>
        </row>
        <row r="81">
          <cell r="I81">
            <v>2882.4950906344411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2813.0853474320243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4332.0452093495642</v>
          </cell>
        </row>
        <row r="224">
          <cell r="I224">
            <v>4608.3232628398791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27.281813848141653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44.070160324708318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149.38474426541001</v>
          </cell>
        </row>
        <row r="11081">
          <cell r="I11081">
            <v>81.308199999999999</v>
          </cell>
        </row>
        <row r="11092">
          <cell r="I11092">
            <v>356.18739975005479</v>
          </cell>
        </row>
        <row r="11103">
          <cell r="I11103">
            <v>0</v>
          </cell>
        </row>
        <row r="11114">
          <cell r="I11114">
            <v>170.60106849315048</v>
          </cell>
        </row>
        <row r="11125">
          <cell r="I11125">
            <v>13.139726027397261</v>
          </cell>
        </row>
        <row r="11136">
          <cell r="I11136">
            <v>560.11789853543405</v>
          </cell>
        </row>
        <row r="11147">
          <cell r="I11147">
            <v>139.83561643835617</v>
          </cell>
        </row>
        <row r="11158">
          <cell r="I11158">
            <v>12.14183999999997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9.4074190969986855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340.131.074,39</v>
          </cell>
          <cell r="N2" t="str">
            <v>35.380.701,91</v>
          </cell>
        </row>
      </sheetData>
      <sheetData sheetId="7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4442.4169184290031</v>
          </cell>
        </row>
        <row r="224">
          <cell r="I224">
            <v>4663.6253776435042</v>
          </cell>
        </row>
        <row r="257">
          <cell r="I257">
            <v>14223.844769725049</v>
          </cell>
        </row>
        <row r="10960">
          <cell r="I10960">
            <v>139.04543835616414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30.314767123287695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44.070160324708269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69.527803652968075</v>
          </cell>
        </row>
        <row r="11081">
          <cell r="I11081">
            <v>48.010799999999989</v>
          </cell>
        </row>
        <row r="11092">
          <cell r="I11092">
            <v>416.77285299023572</v>
          </cell>
        </row>
        <row r="11103">
          <cell r="I11103">
            <v>0</v>
          </cell>
        </row>
        <row r="11114">
          <cell r="I11114">
            <v>196.77674630137008</v>
          </cell>
        </row>
        <row r="11125">
          <cell r="I11125">
            <v>13.139726027397261</v>
          </cell>
        </row>
        <row r="11136">
          <cell r="I11136">
            <v>729.92714588699926</v>
          </cell>
        </row>
        <row r="11147">
          <cell r="I11147">
            <v>139.83561643835617</v>
          </cell>
        </row>
        <row r="11158">
          <cell r="I11158">
            <v>12.14183999999997</v>
          </cell>
        </row>
        <row r="11169">
          <cell r="I11169">
            <v>63.287671232876711</v>
          </cell>
        </row>
        <row r="11180">
          <cell r="I11180">
            <v>102.76756986301379</v>
          </cell>
        </row>
        <row r="11191">
          <cell r="I11191">
            <v>0</v>
          </cell>
        </row>
        <row r="11202">
          <cell r="I11202">
            <v>139.55838356164395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32.00495999999994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342.104.967,73</v>
          </cell>
          <cell r="N2" t="str">
            <v>35.380.701,91</v>
          </cell>
        </row>
      </sheetData>
      <sheetData sheetId="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187</v>
          </cell>
        </row>
        <row r="125">
          <cell r="I125">
            <v>187.00000000000006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4571.2351640323432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44.070160324708269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48.010800000000017</v>
          </cell>
        </row>
        <row r="11092">
          <cell r="I11092">
            <v>309.75009756941313</v>
          </cell>
        </row>
        <row r="11103">
          <cell r="I11103">
            <v>0</v>
          </cell>
        </row>
        <row r="11114">
          <cell r="I11114">
            <v>137.4565134246576</v>
          </cell>
        </row>
        <row r="11125">
          <cell r="I11125">
            <v>13.139726027397261</v>
          </cell>
        </row>
        <row r="11136">
          <cell r="I11136">
            <v>527.08430387648718</v>
          </cell>
        </row>
        <row r="11147">
          <cell r="I11147">
            <v>139.83561643835617</v>
          </cell>
        </row>
        <row r="11158">
          <cell r="I11158">
            <v>12.141839999999991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39.539960000000029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341.162.184,27</v>
          </cell>
          <cell r="N2" t="str">
            <v>35.380.701,91</v>
          </cell>
        </row>
      </sheetData>
      <sheetData sheetId="7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973.06541438759677</v>
          </cell>
        </row>
        <row r="59">
          <cell r="I59">
            <v>1244.6370656370657</v>
          </cell>
        </row>
        <row r="81">
          <cell r="I81">
            <v>3673.3606888461259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6165.6637714285789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19.921939726027333</v>
          </cell>
        </row>
        <row r="10993">
          <cell r="I10993">
            <v>37.292232876712291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510.10012556611758</v>
          </cell>
        </row>
        <row r="11103">
          <cell r="I11103">
            <v>21.698630136986303</v>
          </cell>
        </row>
        <row r="11114">
          <cell r="I11114">
            <v>215.30253150684936</v>
          </cell>
        </row>
        <row r="11125">
          <cell r="I11125">
            <v>13.139726027397261</v>
          </cell>
        </row>
        <row r="11136">
          <cell r="I11136">
            <v>867.62874417260309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101.679215857092</v>
          </cell>
        </row>
        <row r="11213">
          <cell r="I11213">
            <v>3.4549610958904147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328.278.397,96</v>
          </cell>
          <cell r="N2" t="str">
            <v>71.928.700,54</v>
          </cell>
        </row>
      </sheetData>
      <sheetData sheetId="7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231.08108108108104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114">
          <cell r="I114">
            <v>257.18339768339769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3260.3465250965228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4744.6239796815989</v>
          </cell>
        </row>
        <row r="224">
          <cell r="I224">
            <v>5060.135135135135</v>
          </cell>
        </row>
        <row r="257">
          <cell r="I257">
            <v>6165.6637714285744</v>
          </cell>
        </row>
        <row r="10960">
          <cell r="I10960">
            <v>169.25366058337943</v>
          </cell>
        </row>
        <row r="10971">
          <cell r="I10971">
            <v>42.493150684931507</v>
          </cell>
        </row>
        <row r="10982">
          <cell r="I10982">
            <v>19.92193972602734</v>
          </cell>
        </row>
        <row r="10993">
          <cell r="I10993">
            <v>34.306767123287692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457.99496634360889</v>
          </cell>
        </row>
        <row r="11103">
          <cell r="I11103">
            <v>21.698630136986303</v>
          </cell>
        </row>
        <row r="11114">
          <cell r="I11114">
            <v>205.03346849315071</v>
          </cell>
        </row>
        <row r="11125">
          <cell r="I11125">
            <v>13.139726027397261</v>
          </cell>
        </row>
        <row r="11136">
          <cell r="I11136">
            <v>827.35623472505449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146.77918356164363</v>
          </cell>
        </row>
        <row r="11213">
          <cell r="I11213">
            <v>7.2189047096236632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314.043.113,86</v>
          </cell>
          <cell r="N2" t="str">
            <v>71.928.700,54</v>
          </cell>
        </row>
      </sheetData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2314</v>
          </cell>
        </row>
        <row r="92">
          <cell r="I92">
            <v>2314.0000000000077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2745.0000000000005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5175.1699395770393</v>
          </cell>
        </row>
        <row r="224">
          <cell r="I224">
            <v>6180.8298604229512</v>
          </cell>
        </row>
        <row r="257">
          <cell r="I257">
            <v>14299.710171428575</v>
          </cell>
        </row>
        <row r="10960">
          <cell r="I10960">
            <v>194.53157728151908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30.401013698630148</v>
          </cell>
        </row>
        <row r="11004">
          <cell r="I11004">
            <v>0</v>
          </cell>
        </row>
        <row r="11015">
          <cell r="I11015">
            <v>139.95142465753418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152.3852036529681</v>
          </cell>
        </row>
        <row r="11081">
          <cell r="I11081">
            <v>109.01079999999996</v>
          </cell>
        </row>
        <row r="11092">
          <cell r="I11092">
            <v>385.97397148056189</v>
          </cell>
        </row>
        <row r="11103">
          <cell r="I11103">
            <v>0</v>
          </cell>
        </row>
        <row r="11114">
          <cell r="I11114">
            <v>186.80106849315081</v>
          </cell>
        </row>
        <row r="11125">
          <cell r="I11125">
            <v>13.139726027397261</v>
          </cell>
        </row>
        <row r="11136">
          <cell r="I11136">
            <v>723.86418303556593</v>
          </cell>
        </row>
        <row r="11147">
          <cell r="I11147">
            <v>2.6562064602683666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264</v>
          </cell>
        </row>
        <row r="48">
          <cell r="I48">
            <v>761.81853281853284</v>
          </cell>
        </row>
        <row r="59">
          <cell r="I59">
            <v>1017.1802035862149</v>
          </cell>
        </row>
        <row r="81">
          <cell r="I81">
            <v>3185.8388030888032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5176.7999999999829</v>
          </cell>
        </row>
        <row r="224">
          <cell r="I224">
            <v>6327.2000000000007</v>
          </cell>
        </row>
        <row r="257">
          <cell r="I257">
            <v>6165.6637714285735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36.174567123287673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104.88152365296813</v>
          </cell>
        </row>
        <row r="11081">
          <cell r="I11081">
            <v>67.00648000000001</v>
          </cell>
        </row>
        <row r="11092">
          <cell r="I11092">
            <v>543.58048442149436</v>
          </cell>
        </row>
        <row r="11103">
          <cell r="I11103">
            <v>7.4155855499999959</v>
          </cell>
        </row>
        <row r="11114">
          <cell r="I11114">
            <v>100.59346849315047</v>
          </cell>
        </row>
        <row r="11125">
          <cell r="I11125">
            <v>13.139726027397261</v>
          </cell>
        </row>
        <row r="11136">
          <cell r="I11136">
            <v>769.13390681451438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301.673.061,34</v>
          </cell>
          <cell r="N2" t="str">
            <v>71.928.700,54</v>
          </cell>
        </row>
      </sheetData>
      <sheetData sheetId="7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46.21621621621621</v>
          </cell>
        </row>
        <row r="26">
          <cell r="I26">
            <v>158.39999999999998</v>
          </cell>
        </row>
        <row r="48">
          <cell r="I48">
            <v>399.70463320463318</v>
          </cell>
        </row>
        <row r="59">
          <cell r="I59">
            <v>641.11389961389966</v>
          </cell>
        </row>
        <row r="81">
          <cell r="I81">
            <v>5044.5000000000236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2760.8204633204632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3067.0000000000009</v>
          </cell>
        </row>
        <row r="213">
          <cell r="I213">
            <v>4141.3513513513517</v>
          </cell>
        </row>
        <row r="224">
          <cell r="I224">
            <v>4461.4943117279036</v>
          </cell>
        </row>
        <row r="257">
          <cell r="I257">
            <v>6165.6637714285753</v>
          </cell>
        </row>
        <row r="10960">
          <cell r="I10960">
            <v>110.79949625374473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663.41313295273039</v>
          </cell>
        </row>
        <row r="11103">
          <cell r="I11103">
            <v>21.698630136986303</v>
          </cell>
        </row>
        <row r="11114">
          <cell r="I11114">
            <v>191.49376438356174</v>
          </cell>
        </row>
        <row r="11125">
          <cell r="I11125">
            <v>13.139726027397261</v>
          </cell>
        </row>
        <row r="11136">
          <cell r="I11136">
            <v>680.1256502170304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5.1016000000000332</v>
          </cell>
        </row>
        <row r="11202">
          <cell r="I11202">
            <v>151.75416297774544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23.31524000000001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304.227.476,63</v>
          </cell>
          <cell r="N2" t="str">
            <v>71.928.700,54</v>
          </cell>
        </row>
      </sheetData>
      <sheetData sheetId="7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3627.0071843148044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6165.6637714285844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19.921939726027333</v>
          </cell>
        </row>
        <row r="10993">
          <cell r="I10993">
            <v>37.292232876712319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536.00948544297398</v>
          </cell>
        </row>
        <row r="11103">
          <cell r="I11103">
            <v>21.698630136986303</v>
          </cell>
        </row>
        <row r="11114">
          <cell r="I11114">
            <v>215.30253150684939</v>
          </cell>
        </row>
        <row r="11125">
          <cell r="I11125">
            <v>13.139726027397261</v>
          </cell>
        </row>
        <row r="11136">
          <cell r="I11136">
            <v>841.71938429574925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101.67921585709134</v>
          </cell>
        </row>
        <row r="11213">
          <cell r="I11213">
            <v>3.4549610958904129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326.971.958,67</v>
          </cell>
          <cell r="N2" t="str">
            <v>71.928.700,54</v>
          </cell>
        </row>
      </sheetData>
      <sheetData sheetId="7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264</v>
          </cell>
        </row>
        <row r="48">
          <cell r="I48">
            <v>1509.0499999999977</v>
          </cell>
        </row>
        <row r="59">
          <cell r="I59">
            <v>1710.9500000000003</v>
          </cell>
        </row>
        <row r="81">
          <cell r="I81">
            <v>3408.2441843148054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3067.0000000000009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6165.6637714285707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34.306767123287678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549.9664863583132</v>
          </cell>
        </row>
        <row r="11103">
          <cell r="I11103">
            <v>21.698630136986303</v>
          </cell>
        </row>
        <row r="11114">
          <cell r="I11114">
            <v>205.03346849315088</v>
          </cell>
        </row>
        <row r="11125">
          <cell r="I11125">
            <v>13.139726027397261</v>
          </cell>
        </row>
        <row r="11136">
          <cell r="I11136">
            <v>819.07920278062829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123.14406669752105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320.665.239,91</v>
          </cell>
          <cell r="N2" t="str">
            <v>71.928.700,54</v>
          </cell>
        </row>
      </sheetData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114">
          <cell r="I114">
            <v>335.69999999999987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5086.8715665541822</v>
          </cell>
        </row>
        <row r="257">
          <cell r="I257">
            <v>6165.6637714285971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19.921939726027357</v>
          </cell>
        </row>
        <row r="10993">
          <cell r="I10993">
            <v>32.692232876712325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509.03603563671606</v>
          </cell>
        </row>
        <row r="11103">
          <cell r="I11103">
            <v>21.698630136986303</v>
          </cell>
        </row>
        <row r="11114">
          <cell r="I11114">
            <v>206.64800273972614</v>
          </cell>
        </row>
        <row r="11125">
          <cell r="I11125">
            <v>13.139726027397261</v>
          </cell>
        </row>
        <row r="11136">
          <cell r="I11136">
            <v>845.67761696443733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120.04591741841948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326.700.114,68</v>
          </cell>
          <cell r="N2" t="str">
            <v>71.928.700,54</v>
          </cell>
        </row>
      </sheetData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6165.6637714285334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25.597939726027345</v>
          </cell>
        </row>
        <row r="10993">
          <cell r="I10993">
            <v>32.361295890411014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550.49741138273748</v>
          </cell>
        </row>
        <row r="11103">
          <cell r="I11103">
            <v>21.698630136986303</v>
          </cell>
        </row>
        <row r="11114">
          <cell r="I11114">
            <v>220.23346849315064</v>
          </cell>
        </row>
        <row r="11125">
          <cell r="I11125">
            <v>13.139726027397261</v>
          </cell>
        </row>
        <row r="11136">
          <cell r="I11136">
            <v>891.22487487949343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141.10318356164385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341.197.996,27</v>
          </cell>
          <cell r="N2" t="str">
            <v>71.928.700,54</v>
          </cell>
        </row>
      </sheetData>
      <sheetData sheetId="7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1200.7121392697579</v>
          </cell>
        </row>
        <row r="59">
          <cell r="I59">
            <v>1486.0463320463321</v>
          </cell>
        </row>
        <row r="81">
          <cell r="I81">
            <v>4348.29054054054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6165.6637714285753</v>
          </cell>
        </row>
        <row r="10960">
          <cell r="I10960">
            <v>184.9535158931522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34.306767123287692</v>
          </cell>
        </row>
        <row r="11004">
          <cell r="I11004">
            <v>0</v>
          </cell>
        </row>
        <row r="11015">
          <cell r="I11015">
            <v>134.05978082191774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636.3239620864282</v>
          </cell>
        </row>
        <row r="11103">
          <cell r="I11103">
            <v>21.698630136986303</v>
          </cell>
        </row>
        <row r="11114">
          <cell r="I11114">
            <v>244.04223561643852</v>
          </cell>
        </row>
        <row r="11125">
          <cell r="I11125">
            <v>13.139726027397261</v>
          </cell>
        </row>
        <row r="11136">
          <cell r="I11136">
            <v>881.85444199362246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349.021.238,48</v>
          </cell>
          <cell r="N2" t="str">
            <v>71.928.700,54</v>
          </cell>
        </row>
      </sheetData>
      <sheetData sheetId="7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1425.6940154440153</v>
          </cell>
        </row>
        <row r="59">
          <cell r="I59">
            <v>1710.9500000000003</v>
          </cell>
        </row>
        <row r="81">
          <cell r="I81">
            <v>2314</v>
          </cell>
        </row>
        <row r="114">
          <cell r="I114">
            <v>308.22586872586874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3252.4362934362971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5176.7999999999947</v>
          </cell>
        </row>
        <row r="224">
          <cell r="I224">
            <v>6327.2000000000007</v>
          </cell>
        </row>
        <row r="257">
          <cell r="I257">
            <v>6165.6637714285798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36.174567123287673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169.85105259299735</v>
          </cell>
        </row>
        <row r="11081">
          <cell r="I11081">
            <v>67.006480000000025</v>
          </cell>
        </row>
        <row r="11092">
          <cell r="I11092">
            <v>627.27154117367729</v>
          </cell>
        </row>
        <row r="11103">
          <cell r="I11103">
            <v>21.698630136986303</v>
          </cell>
        </row>
        <row r="11114">
          <cell r="I11114">
            <v>100.59346849315058</v>
          </cell>
        </row>
        <row r="11125">
          <cell r="I11125">
            <v>13.139726027397261</v>
          </cell>
        </row>
        <row r="11136">
          <cell r="I11136">
            <v>801.10457340526762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104.76028767123275</v>
          </cell>
        </row>
        <row r="11191">
          <cell r="I11191">
            <v>5.4453999999999958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42.563040000000058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343.462.380,16</v>
          </cell>
          <cell r="N2" t="str">
            <v>71.928.700,54</v>
          </cell>
        </row>
      </sheetData>
      <sheetData sheetId="7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1021.9594043920243</v>
          </cell>
        </row>
        <row r="59">
          <cell r="I59">
            <v>1304.9893822393822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6165.6637714285853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19.921939726027347</v>
          </cell>
        </row>
        <row r="10993">
          <cell r="I10993">
            <v>32.361295890411007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402.44809202298575</v>
          </cell>
        </row>
        <row r="11103">
          <cell r="I11103">
            <v>21.698630136986303</v>
          </cell>
        </row>
        <row r="11114">
          <cell r="I11114">
            <v>220.23346849315044</v>
          </cell>
        </row>
        <row r="11125">
          <cell r="I11125">
            <v>13.139726027397261</v>
          </cell>
        </row>
        <row r="11136">
          <cell r="I11136">
            <v>902.6404691633478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133.06729372454791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328.843.671,97</v>
          </cell>
          <cell r="N2" t="str">
            <v>71.928.700,54</v>
          </cell>
        </row>
      </sheetData>
      <sheetData sheetId="7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279</v>
          </cell>
        </row>
        <row r="59">
          <cell r="I59">
            <v>329.29359716859716</v>
          </cell>
        </row>
        <row r="81">
          <cell r="I81">
            <v>4202.9840733590736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6165.6637714285898</v>
          </cell>
        </row>
        <row r="10960">
          <cell r="I10960">
            <v>161.70426022433921</v>
          </cell>
        </row>
        <row r="10971">
          <cell r="I10971">
            <v>42.493150684931507</v>
          </cell>
        </row>
        <row r="10982">
          <cell r="I10982">
            <v>25.597939726027359</v>
          </cell>
        </row>
        <row r="10993">
          <cell r="I10993">
            <v>32.709728767123323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649.40026782972529</v>
          </cell>
        </row>
        <row r="11103">
          <cell r="I11103">
            <v>21.698630136986303</v>
          </cell>
        </row>
        <row r="11114">
          <cell r="I11114">
            <v>220.23346849315044</v>
          </cell>
        </row>
        <row r="11125">
          <cell r="I11125">
            <v>13.139726027397261</v>
          </cell>
        </row>
        <row r="11136">
          <cell r="I11136">
            <v>910.33578087702153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141.10318356164385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331.277.679,46</v>
          </cell>
          <cell r="N2" t="str">
            <v>71.928.700,54</v>
          </cell>
        </row>
      </sheetData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3680.2669827794534</v>
          </cell>
        </row>
        <row r="92">
          <cell r="I92">
            <v>4303.7328172205434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3063.0000000000009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14299.710171428555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32.306767123287678</v>
          </cell>
        </row>
        <row r="11004">
          <cell r="I11004">
            <v>0</v>
          </cell>
        </row>
        <row r="11015">
          <cell r="I11015">
            <v>148.15821917808208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144.58780365296803</v>
          </cell>
        </row>
        <row r="11081">
          <cell r="I11081">
            <v>65.308199999999971</v>
          </cell>
        </row>
        <row r="11092">
          <cell r="I11092">
            <v>205.02694873574126</v>
          </cell>
        </row>
        <row r="11103">
          <cell r="I11103">
            <v>0</v>
          </cell>
        </row>
        <row r="11114">
          <cell r="I11114">
            <v>195.40983561643853</v>
          </cell>
        </row>
        <row r="11125">
          <cell r="I11125">
            <v>11.867964214819057</v>
          </cell>
        </row>
        <row r="11136">
          <cell r="I11136">
            <v>812.24611892597488</v>
          </cell>
        </row>
        <row r="11147">
          <cell r="I11147">
            <v>104.0434427344774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141.0706164383561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187</v>
          </cell>
        </row>
        <row r="125">
          <cell r="I125">
            <v>187.00000000000048</v>
          </cell>
        </row>
        <row r="147">
          <cell r="I147">
            <v>2839.9227799227801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4817.9241727317903</v>
          </cell>
        </row>
        <row r="224">
          <cell r="I224">
            <v>5130.8108108108108</v>
          </cell>
        </row>
        <row r="257">
          <cell r="I257">
            <v>6165.6637714285707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19.921939726027325</v>
          </cell>
        </row>
        <row r="10993">
          <cell r="I10993">
            <v>37.292232876712319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481.57452544297445</v>
          </cell>
        </row>
        <row r="11103">
          <cell r="I11103">
            <v>21.698630136986303</v>
          </cell>
        </row>
        <row r="11114">
          <cell r="I11114">
            <v>215.30253150684945</v>
          </cell>
        </row>
        <row r="11125">
          <cell r="I11125">
            <v>13.139726027397261</v>
          </cell>
        </row>
        <row r="11136">
          <cell r="I11136">
            <v>957.74754608133094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142.17095615644976</v>
          </cell>
        </row>
        <row r="11213">
          <cell r="I11213">
            <v>3.4549610958904182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329.247.498,52</v>
          </cell>
          <cell r="N2" t="str">
            <v>71.928.700,54</v>
          </cell>
        </row>
      </sheetData>
      <sheetData sheetId="7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2782.0825613293032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34.209767123287691</v>
          </cell>
        </row>
        <row r="11004">
          <cell r="I11004">
            <v>0</v>
          </cell>
        </row>
        <row r="11015">
          <cell r="I11015">
            <v>122.26542465753411</v>
          </cell>
        </row>
        <row r="11026">
          <cell r="I11026">
            <v>49.398885337392187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71.895916201011133</v>
          </cell>
        </row>
        <row r="11081">
          <cell r="I11081">
            <v>50.066252769222004</v>
          </cell>
        </row>
        <row r="11092">
          <cell r="I11092">
            <v>510.37315841879808</v>
          </cell>
        </row>
        <row r="11103">
          <cell r="I11103">
            <v>5.1973236999999948</v>
          </cell>
        </row>
        <row r="11114">
          <cell r="I11114">
            <v>172.37244437486891</v>
          </cell>
        </row>
        <row r="11125">
          <cell r="I11125">
            <v>13.139726027397261</v>
          </cell>
        </row>
        <row r="11136">
          <cell r="I11136">
            <v>643.08621324704552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63.287671232876718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89.298347862849639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340.612.833,07</v>
          </cell>
          <cell r="N2" t="str">
            <v>35.475.755,55</v>
          </cell>
        </row>
      </sheetData>
      <sheetData sheetId="7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704.01888217522651</v>
          </cell>
        </row>
        <row r="81">
          <cell r="I81">
            <v>2655.0970543806648</v>
          </cell>
        </row>
        <row r="114">
          <cell r="I114">
            <v>206.96978851963746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3247.4714879154076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4225.0802954682767</v>
          </cell>
        </row>
        <row r="224">
          <cell r="I224">
            <v>4497.7190332326281</v>
          </cell>
        </row>
        <row r="257">
          <cell r="I257">
            <v>14299.710171428575</v>
          </cell>
        </row>
        <row r="10960">
          <cell r="I10960">
            <v>106.70457808219147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32.306767123287692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133.99319634703193</v>
          </cell>
        </row>
        <row r="11081">
          <cell r="I11081">
            <v>67.010799999999989</v>
          </cell>
        </row>
        <row r="11092">
          <cell r="I11092">
            <v>377.03546952433834</v>
          </cell>
        </row>
        <row r="11103">
          <cell r="I11103">
            <v>6.8146794047728534</v>
          </cell>
        </row>
        <row r="11114">
          <cell r="I11114">
            <v>195.40983561643827</v>
          </cell>
        </row>
        <row r="11125">
          <cell r="I11125">
            <v>13.139726027397261</v>
          </cell>
        </row>
        <row r="11136">
          <cell r="I11136">
            <v>531.91309172122556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99.872228959152693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323.068.495,31</v>
          </cell>
          <cell r="N2" t="str">
            <v>35.475.755,55</v>
          </cell>
        </row>
      </sheetData>
      <sheetData sheetId="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279.00000000000051</v>
          </cell>
        </row>
        <row r="81">
          <cell r="I81">
            <v>2314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2745.0000000000018</v>
          </cell>
        </row>
        <row r="180">
          <cell r="I180">
            <v>3063</v>
          </cell>
        </row>
        <row r="191">
          <cell r="I191">
            <v>3063.0000000000009</v>
          </cell>
        </row>
        <row r="213">
          <cell r="I213">
            <v>5175.1699395770393</v>
          </cell>
        </row>
        <row r="224">
          <cell r="I224">
            <v>6301.803860422955</v>
          </cell>
        </row>
        <row r="257">
          <cell r="I257">
            <v>14299.710171428584</v>
          </cell>
        </row>
        <row r="10960">
          <cell r="I10960">
            <v>144.92218658837896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30.401013698630155</v>
          </cell>
        </row>
        <row r="11004">
          <cell r="I11004">
            <v>0</v>
          </cell>
        </row>
        <row r="11015">
          <cell r="I11015">
            <v>139.95142465753366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164.71854513412256</v>
          </cell>
        </row>
        <row r="11081">
          <cell r="I11081">
            <v>109.01080000000002</v>
          </cell>
        </row>
        <row r="11092">
          <cell r="I11092">
            <v>325.1874370158306</v>
          </cell>
        </row>
        <row r="11103">
          <cell r="I11103">
            <v>21.698630136986303</v>
          </cell>
        </row>
        <row r="11114">
          <cell r="I11114">
            <v>67.161068493150793</v>
          </cell>
        </row>
        <row r="11125">
          <cell r="I11125">
            <v>13.139726027397261</v>
          </cell>
        </row>
        <row r="11136">
          <cell r="I11136">
            <v>723.8641830355632</v>
          </cell>
        </row>
        <row r="11147">
          <cell r="I11147">
            <v>138.17315999999997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309.952.573,40</v>
          </cell>
          <cell r="N2" t="str">
            <v>35.475.755,55</v>
          </cell>
        </row>
      </sheetData>
      <sheetData sheetId="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279.00000000000045</v>
          </cell>
        </row>
        <row r="81">
          <cell r="I81">
            <v>3735.2377265861028</v>
          </cell>
        </row>
        <row r="114">
          <cell r="I114">
            <v>187</v>
          </cell>
        </row>
        <row r="125">
          <cell r="I125">
            <v>187.00000000000006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14299.710171428575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49.398885337392215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144.58780365296803</v>
          </cell>
        </row>
        <row r="11081">
          <cell r="I11081">
            <v>65.308200000000014</v>
          </cell>
        </row>
        <row r="11092">
          <cell r="I11092">
            <v>214.54921496949032</v>
          </cell>
        </row>
        <row r="11103">
          <cell r="I11103">
            <v>21.698630136986303</v>
          </cell>
        </row>
        <row r="11114">
          <cell r="I11114">
            <v>195.40983561643839</v>
          </cell>
        </row>
        <row r="11125">
          <cell r="I11125">
            <v>13.139726027397261</v>
          </cell>
        </row>
        <row r="11136">
          <cell r="I11136">
            <v>718.42861988652908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146.74661643835628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318.116.350,41</v>
          </cell>
          <cell r="N2" t="str">
            <v>35.475.755,55</v>
          </cell>
        </row>
      </sheetData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4552.8608845921417</v>
          </cell>
        </row>
        <row r="257">
          <cell r="I257">
            <v>14299.710171428578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51.881635210553029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94.392212462211418</v>
          </cell>
        </row>
        <row r="11081">
          <cell r="I11081">
            <v>67.010800000000003</v>
          </cell>
        </row>
        <row r="11092">
          <cell r="I11092">
            <v>434.10219663072485</v>
          </cell>
        </row>
        <row r="11103">
          <cell r="I11103">
            <v>5.1973236999999983</v>
          </cell>
        </row>
        <row r="11114">
          <cell r="I11114">
            <v>195.40983561643841</v>
          </cell>
        </row>
        <row r="11125">
          <cell r="I11125">
            <v>13.139726027397261</v>
          </cell>
        </row>
        <row r="11136">
          <cell r="I11136">
            <v>588.79195279525095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53.814383561643922</v>
          </cell>
        </row>
        <row r="11213">
          <cell r="I11213">
            <v>8.9981858188165802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339.102.521,40</v>
          </cell>
          <cell r="N2" t="str">
            <v>35.475.755,55</v>
          </cell>
        </row>
      </sheetData>
      <sheetData sheetId="7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18.081570996978851</v>
          </cell>
        </row>
        <row r="26">
          <cell r="I26">
            <v>90.407854984894257</v>
          </cell>
        </row>
        <row r="48">
          <cell r="I48">
            <v>1509.0499999999979</v>
          </cell>
        </row>
        <row r="59">
          <cell r="I59">
            <v>1710.9500000000003</v>
          </cell>
        </row>
        <row r="81">
          <cell r="I81">
            <v>2314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2745</v>
          </cell>
        </row>
        <row r="158">
          <cell r="I158">
            <v>2775.9478851963745</v>
          </cell>
        </row>
        <row r="180">
          <cell r="I180">
            <v>3063</v>
          </cell>
        </row>
        <row r="191">
          <cell r="I191">
            <v>3063.0000000000009</v>
          </cell>
        </row>
        <row r="213">
          <cell r="I213">
            <v>4027.9741776435039</v>
          </cell>
        </row>
        <row r="224">
          <cell r="I224">
            <v>4276.510574018127</v>
          </cell>
        </row>
        <row r="257">
          <cell r="I257">
            <v>14299.710171428585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32.306767123287692</v>
          </cell>
        </row>
        <row r="11004">
          <cell r="I11004">
            <v>0</v>
          </cell>
        </row>
        <row r="11015">
          <cell r="I11015">
            <v>155.83877584488619</v>
          </cell>
        </row>
        <row r="11026">
          <cell r="I11026">
            <v>49.398885337392215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72.092905181155217</v>
          </cell>
        </row>
        <row r="11092">
          <cell r="I11092">
            <v>430.72820985492086</v>
          </cell>
        </row>
        <row r="11103">
          <cell r="I11103">
            <v>5.1973237000000125</v>
          </cell>
        </row>
        <row r="11114">
          <cell r="I11114">
            <v>195.4098356164385</v>
          </cell>
        </row>
        <row r="11125">
          <cell r="I11125">
            <v>13.139726027397261</v>
          </cell>
        </row>
        <row r="11136">
          <cell r="I11136">
            <v>501.30472632999624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23.940092809712361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333.061.767,16</v>
          </cell>
          <cell r="N2" t="str">
            <v>35.475.755,55</v>
          </cell>
        </row>
      </sheetData>
      <sheetData sheetId="7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180.81570996978851</v>
          </cell>
        </row>
        <row r="48">
          <cell r="I48">
            <v>537.44245558912235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335.70000000000016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14299.710171428578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32.306767123287692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88.042371978824136</v>
          </cell>
        </row>
        <row r="11081">
          <cell r="I11081">
            <v>67.010799999999989</v>
          </cell>
        </row>
        <row r="11092">
          <cell r="I11092">
            <v>434.26246007483678</v>
          </cell>
        </row>
        <row r="11103">
          <cell r="I11103">
            <v>5.1973237000000054</v>
          </cell>
        </row>
        <row r="11114">
          <cell r="I11114">
            <v>195.4098356164385</v>
          </cell>
        </row>
        <row r="11125">
          <cell r="I11125">
            <v>13.139726027397261</v>
          </cell>
        </row>
        <row r="11136">
          <cell r="I11136">
            <v>567.60826699464928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53.814383561643851</v>
          </cell>
        </row>
        <row r="11213">
          <cell r="I11213">
            <v>8.8379223747046662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338.855.372,33</v>
          </cell>
          <cell r="N2" t="str">
            <v>35.475.755,55</v>
          </cell>
        </row>
      </sheetData>
      <sheetData sheetId="7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14299.710171428576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34.209767123287676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94.493196347031869</v>
          </cell>
        </row>
        <row r="11081">
          <cell r="I11081">
            <v>22.010799999999961</v>
          </cell>
        </row>
        <row r="11092">
          <cell r="I11092">
            <v>427.64086421440368</v>
          </cell>
        </row>
        <row r="11103">
          <cell r="I11103">
            <v>5.1973236999999912</v>
          </cell>
        </row>
        <row r="11114">
          <cell r="I11114">
            <v>172.37244437486805</v>
          </cell>
        </row>
        <row r="11125">
          <cell r="I11125">
            <v>13.139726027397261</v>
          </cell>
        </row>
        <row r="11136">
          <cell r="I11136">
            <v>651.47816339272481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89.298347862850022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357.044.878,44</v>
          </cell>
          <cell r="N2" t="str">
            <v>35.475.755,55</v>
          </cell>
        </row>
      </sheetData>
      <sheetData sheetId="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656.79456193353474</v>
          </cell>
        </row>
        <row r="59">
          <cell r="I59">
            <v>892.91616314199393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14299.71017142858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32.306767123287692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129.32942979152651</v>
          </cell>
        </row>
        <row r="11081">
          <cell r="I11081">
            <v>67.010799999999989</v>
          </cell>
        </row>
        <row r="11092">
          <cell r="I11092">
            <v>322.23701717480958</v>
          </cell>
        </row>
        <row r="11103">
          <cell r="I11103">
            <v>9.9700144500000505</v>
          </cell>
        </row>
        <row r="11114">
          <cell r="I11114">
            <v>195.40983561643833</v>
          </cell>
        </row>
        <row r="11125">
          <cell r="I11125">
            <v>13.139726027397261</v>
          </cell>
        </row>
        <row r="11136">
          <cell r="I11136">
            <v>670.12129978084374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156.01438356164371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365.024.443,60</v>
          </cell>
          <cell r="N2" t="str">
            <v>35.475.755,55</v>
          </cell>
        </row>
      </sheetData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92">
          <cell r="I92">
            <v>3157.7599963746206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4276.510574018127</v>
          </cell>
        </row>
        <row r="224">
          <cell r="I224">
            <v>4497.7190332326281</v>
          </cell>
        </row>
        <row r="257">
          <cell r="I257">
            <v>14299.710171428571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152.08780365296798</v>
          </cell>
        </row>
        <row r="11081">
          <cell r="I11081">
            <v>28.689951584243865</v>
          </cell>
        </row>
        <row r="11092">
          <cell r="I11092">
            <v>375.13942619621128</v>
          </cell>
        </row>
        <row r="11103">
          <cell r="I11103">
            <v>0</v>
          </cell>
        </row>
        <row r="11114">
          <cell r="I11114">
            <v>195.40983561643836</v>
          </cell>
        </row>
        <row r="11125">
          <cell r="I11125">
            <v>13.139726027397261</v>
          </cell>
        </row>
        <row r="11136">
          <cell r="I11136">
            <v>633.39195279525222</v>
          </cell>
        </row>
        <row r="11147">
          <cell r="I11147">
            <v>98.491728959152482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146.74661643835634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198.89728096676737</v>
          </cell>
        </row>
        <row r="26">
          <cell r="I26">
            <v>264</v>
          </cell>
        </row>
        <row r="48">
          <cell r="I48">
            <v>798.46752265861028</v>
          </cell>
        </row>
        <row r="59">
          <cell r="I59">
            <v>987.36480362537759</v>
          </cell>
        </row>
        <row r="81">
          <cell r="I81">
            <v>2314</v>
          </cell>
        </row>
        <row r="114">
          <cell r="I114">
            <v>241.916918429003</v>
          </cell>
        </row>
        <row r="125">
          <cell r="I125">
            <v>261.88670694864049</v>
          </cell>
        </row>
        <row r="147">
          <cell r="I147">
            <v>2813.0853474320243</v>
          </cell>
        </row>
        <row r="158">
          <cell r="I158">
            <v>2837.843655589124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4601.4928422960702</v>
          </cell>
        </row>
        <row r="224">
          <cell r="I224">
            <v>4829.5317220543802</v>
          </cell>
        </row>
        <row r="257">
          <cell r="I257">
            <v>14299.710171428578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8.5531314741548172</v>
          </cell>
        </row>
        <row r="10993">
          <cell r="I10993">
            <v>38.306767123287671</v>
          </cell>
        </row>
        <row r="11004">
          <cell r="I11004">
            <v>0</v>
          </cell>
        </row>
        <row r="11015">
          <cell r="I11015">
            <v>156.71130719030015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131.19135091134567</v>
          </cell>
        </row>
        <row r="11081">
          <cell r="I11081">
            <v>67.010800000000003</v>
          </cell>
        </row>
        <row r="11092">
          <cell r="I11092">
            <v>483.45191211255462</v>
          </cell>
        </row>
        <row r="11103">
          <cell r="I11103">
            <v>0</v>
          </cell>
        </row>
        <row r="11114">
          <cell r="I11114">
            <v>171.60106849315079</v>
          </cell>
        </row>
        <row r="11125">
          <cell r="I11125">
            <v>13.139726027397261</v>
          </cell>
        </row>
        <row r="11136">
          <cell r="I11136">
            <v>607.3537522075776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141.07061643835621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121.56063637462272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355.294.099,55</v>
          </cell>
          <cell r="N2" t="str">
            <v>35.475.755,55</v>
          </cell>
        </row>
      </sheetData>
      <sheetData sheetId="7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609.57024169184285</v>
          </cell>
        </row>
        <row r="59">
          <cell r="I59">
            <v>798.46752265861028</v>
          </cell>
        </row>
        <row r="81">
          <cell r="I81">
            <v>2783.414509969788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2813.0853474320243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4608.3232628398791</v>
          </cell>
        </row>
        <row r="257">
          <cell r="I257">
            <v>14299.710171428578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49.398885337392215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94.493196347031954</v>
          </cell>
        </row>
        <row r="11081">
          <cell r="I11081">
            <v>22.010799999999985</v>
          </cell>
        </row>
        <row r="11092">
          <cell r="I11092">
            <v>454.95458227860058</v>
          </cell>
        </row>
        <row r="11103">
          <cell r="I11103">
            <v>5.1973237000000125</v>
          </cell>
        </row>
        <row r="11114">
          <cell r="I11114">
            <v>155.86108219178089</v>
          </cell>
        </row>
        <row r="11125">
          <cell r="I11125">
            <v>13.139726027397261</v>
          </cell>
        </row>
        <row r="11136">
          <cell r="I11136">
            <v>628.84980339727349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89.298347862849823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340.807.897,27</v>
          </cell>
          <cell r="N2" t="str">
            <v>35.475.755,55</v>
          </cell>
        </row>
      </sheetData>
      <sheetData sheetId="7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279.00000000000011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2788.3270392749246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4411.0818060422953</v>
          </cell>
        </row>
        <row r="224">
          <cell r="I224">
            <v>4663.6253776435042</v>
          </cell>
        </row>
        <row r="257">
          <cell r="I257">
            <v>14299.710171428578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38.306767123287685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51.881635210553021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94.493196347031954</v>
          </cell>
        </row>
        <row r="11081">
          <cell r="I11081">
            <v>112.01079999999996</v>
          </cell>
        </row>
        <row r="11092">
          <cell r="I11092">
            <v>451.66388818696259</v>
          </cell>
        </row>
        <row r="11103">
          <cell r="I11103">
            <v>5.1973237000000054</v>
          </cell>
        </row>
        <row r="11114">
          <cell r="I11114">
            <v>128.20816438356189</v>
          </cell>
        </row>
        <row r="11125">
          <cell r="I11125">
            <v>13.139726027397261</v>
          </cell>
        </row>
        <row r="11136">
          <cell r="I11136">
            <v>616.17248969450509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146.74661643835628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6.3905166395347681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342.730.760,22</v>
          </cell>
          <cell r="N2" t="str">
            <v>35.475.755,55</v>
          </cell>
        </row>
      </sheetData>
      <sheetData sheetId="7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187</v>
          </cell>
        </row>
        <row r="125">
          <cell r="I125">
            <v>187.00000000000006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14299.710171428578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34.209767123287691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94.493196347031841</v>
          </cell>
        </row>
        <row r="11081">
          <cell r="I11081">
            <v>27.468972623200976</v>
          </cell>
        </row>
        <row r="11092">
          <cell r="I11092">
            <v>434.87797219316428</v>
          </cell>
        </row>
        <row r="11103">
          <cell r="I11103">
            <v>5.1973236999999912</v>
          </cell>
        </row>
        <row r="11114">
          <cell r="I11114">
            <v>172.37244437486859</v>
          </cell>
        </row>
        <row r="11125">
          <cell r="I11125">
            <v>13.139726027397261</v>
          </cell>
        </row>
        <row r="11136">
          <cell r="I11136">
            <v>648.44841212011784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89.298347862849596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341.789.350,23</v>
          </cell>
          <cell r="N2" t="str">
            <v>35.475.755,55</v>
          </cell>
        </row>
      </sheetData>
      <sheetData sheetId="7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3675.4029181637984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6165.6514285714356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22.678813698630115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91.906501660088239</v>
          </cell>
        </row>
        <row r="11092">
          <cell r="I11092">
            <v>465.93268572084958</v>
          </cell>
        </row>
        <row r="11103">
          <cell r="I11103">
            <v>0</v>
          </cell>
        </row>
        <row r="11114">
          <cell r="I11114">
            <v>188.83346849315075</v>
          </cell>
        </row>
        <row r="11125">
          <cell r="I11125">
            <v>13.139726027397261</v>
          </cell>
        </row>
        <row r="11136">
          <cell r="I11136">
            <v>937.76504561213278</v>
          </cell>
        </row>
        <row r="11147">
          <cell r="I11147">
            <v>139.83561643835617</v>
          </cell>
        </row>
        <row r="11158">
          <cell r="I11158">
            <v>15.316463561643914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0.70160000000004175</v>
          </cell>
        </row>
        <row r="11202">
          <cell r="I11202">
            <v>130.3231835616439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326.655.789,86</v>
          </cell>
          <cell r="N2" t="str">
            <v>71.948.395,79</v>
          </cell>
        </row>
      </sheetData>
      <sheetData sheetId="7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231.08108108108104</v>
          </cell>
        </row>
        <row r="26">
          <cell r="I26">
            <v>335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114">
          <cell r="I114">
            <v>256.57955909043648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3260.3465250965287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4777.4324324324325</v>
          </cell>
        </row>
        <row r="224">
          <cell r="I224">
            <v>5060.135135135135</v>
          </cell>
        </row>
        <row r="257">
          <cell r="I257">
            <v>6165.6514285714366</v>
          </cell>
        </row>
        <row r="10960">
          <cell r="I10960">
            <v>111.53917587298363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158.94966049720949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81.312519999999921</v>
          </cell>
        </row>
        <row r="11092">
          <cell r="I11092">
            <v>516.27331416522202</v>
          </cell>
        </row>
        <row r="11103">
          <cell r="I11103">
            <v>0</v>
          </cell>
        </row>
        <row r="11114">
          <cell r="I11114">
            <v>193.9334684931506</v>
          </cell>
        </row>
        <row r="11125">
          <cell r="I11125">
            <v>13.139726027397261</v>
          </cell>
        </row>
        <row r="11136">
          <cell r="I11136">
            <v>878.15639817283602</v>
          </cell>
        </row>
        <row r="11147">
          <cell r="I11147">
            <v>139.83561643835617</v>
          </cell>
        </row>
        <row r="11158">
          <cell r="I11158">
            <v>15.316463561643808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156.00026751642392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312.416.479,82</v>
          </cell>
          <cell r="N2" t="str">
            <v>71.948.395,79</v>
          </cell>
        </row>
      </sheetData>
      <sheetData sheetId="7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277.29729729729723</v>
          </cell>
        </row>
        <row r="48">
          <cell r="I48">
            <v>761.81853281853284</v>
          </cell>
        </row>
        <row r="59">
          <cell r="I59">
            <v>1047.34479212357</v>
          </cell>
        </row>
        <row r="81">
          <cell r="I81">
            <v>3185.8388030888032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5176.7999999999784</v>
          </cell>
        </row>
        <row r="224">
          <cell r="I224">
            <v>6327.2000000000007</v>
          </cell>
        </row>
        <row r="257">
          <cell r="I257">
            <v>6165.6514285714566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28.173813698630159</v>
          </cell>
        </row>
        <row r="11004">
          <cell r="I11004">
            <v>0</v>
          </cell>
        </row>
        <row r="11015">
          <cell r="I11015">
            <v>101.65526714814695</v>
          </cell>
        </row>
        <row r="11026">
          <cell r="I11026">
            <v>45.807186078132958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427.11098411861258</v>
          </cell>
        </row>
        <row r="11070">
          <cell r="I11070">
            <v>155.32807634703187</v>
          </cell>
        </row>
        <row r="11081">
          <cell r="I11081">
            <v>48.006480000000089</v>
          </cell>
        </row>
        <row r="11092">
          <cell r="I11092">
            <v>409.25690834362939</v>
          </cell>
        </row>
        <row r="11103">
          <cell r="I11103">
            <v>0</v>
          </cell>
        </row>
        <row r="11114">
          <cell r="I11114">
            <v>133.7134684931508</v>
          </cell>
        </row>
        <row r="11125">
          <cell r="I11125">
            <v>13.139726027397261</v>
          </cell>
        </row>
        <row r="11136">
          <cell r="I11136">
            <v>855.51918689656816</v>
          </cell>
        </row>
        <row r="11147">
          <cell r="I11147">
            <v>138.55344000000002</v>
          </cell>
        </row>
        <row r="11158">
          <cell r="I11158">
            <v>20.813040000000022</v>
          </cell>
        </row>
        <row r="11169">
          <cell r="I11169">
            <v>63.287671232876711</v>
          </cell>
        </row>
        <row r="11180">
          <cell r="I11180">
            <v>88.018030136986127</v>
          </cell>
        </row>
        <row r="11191">
          <cell r="I11191">
            <v>0</v>
          </cell>
        </row>
        <row r="11202">
          <cell r="I11202">
            <v>89.666216438356301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148.19644000000017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300.030.251,95</v>
          </cell>
          <cell r="N2" t="str">
            <v>71.948.395,79</v>
          </cell>
        </row>
      </sheetData>
      <sheetData sheetId="7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46.21621621621621</v>
          </cell>
        </row>
        <row r="26">
          <cell r="I26">
            <v>138.64864864864862</v>
          </cell>
        </row>
        <row r="48">
          <cell r="I48">
            <v>399.70463320463318</v>
          </cell>
        </row>
        <row r="59">
          <cell r="I59">
            <v>701.46621621621625</v>
          </cell>
        </row>
        <row r="81">
          <cell r="I81">
            <v>5044.5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2760.8204633204632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4141.3513513513517</v>
          </cell>
        </row>
        <row r="224">
          <cell r="I224">
            <v>4468.1248500386073</v>
          </cell>
        </row>
        <row r="257">
          <cell r="I257">
            <v>6165.6514285714311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145.70209201836246</v>
          </cell>
        </row>
        <row r="11092">
          <cell r="I11092">
            <v>438.41073910019452</v>
          </cell>
        </row>
        <row r="11103">
          <cell r="I11103">
            <v>0</v>
          </cell>
        </row>
        <row r="11114">
          <cell r="I11114">
            <v>185.92564681532744</v>
          </cell>
        </row>
        <row r="11125">
          <cell r="I11125">
            <v>13.139726027397261</v>
          </cell>
        </row>
        <row r="11136">
          <cell r="I11136">
            <v>648.02265147215485</v>
          </cell>
        </row>
        <row r="11147">
          <cell r="I11147">
            <v>127.54932504998413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5.155387945205022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302.550.591,26</v>
          </cell>
          <cell r="N2" t="str">
            <v>71.948.395,79</v>
          </cell>
        </row>
      </sheetData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976.06170194758317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6165.6514285714338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22.678813698630126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89.161960375667036</v>
          </cell>
        </row>
        <row r="11092">
          <cell r="I11092">
            <v>463.5772270052737</v>
          </cell>
        </row>
        <row r="11103">
          <cell r="I11103">
            <v>0</v>
          </cell>
        </row>
        <row r="11114">
          <cell r="I11114">
            <v>193.93346849315051</v>
          </cell>
        </row>
        <row r="11125">
          <cell r="I11125">
            <v>13.139726027397261</v>
          </cell>
        </row>
        <row r="11136">
          <cell r="I11136">
            <v>937.76504561213142</v>
          </cell>
        </row>
        <row r="11147">
          <cell r="I11147">
            <v>138.15212000000002</v>
          </cell>
        </row>
        <row r="11158">
          <cell r="I11158">
            <v>16.999959999999966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0.70160000000001688</v>
          </cell>
        </row>
        <row r="11202">
          <cell r="I11202">
            <v>130.32318356164376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324.985.725,67</v>
          </cell>
          <cell r="N2" t="str">
            <v>71.948.395,79</v>
          </cell>
        </row>
      </sheetData>
      <sheetData sheetId="7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323.51351351351349</v>
          </cell>
        </row>
        <row r="48">
          <cell r="I48">
            <v>1449.000000000002</v>
          </cell>
        </row>
        <row r="59">
          <cell r="I59">
            <v>1771.0000000000002</v>
          </cell>
        </row>
        <row r="81">
          <cell r="I81">
            <v>3395.9591743629308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6165.6514285714493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99.544027945207731</v>
          </cell>
        </row>
        <row r="11092">
          <cell r="I11092">
            <v>579.8049350707646</v>
          </cell>
        </row>
        <row r="11103">
          <cell r="I11103">
            <v>0</v>
          </cell>
        </row>
        <row r="11114">
          <cell r="I11114">
            <v>158.43376438356134</v>
          </cell>
        </row>
        <row r="11125">
          <cell r="I11125">
            <v>13.139726027397261</v>
          </cell>
        </row>
        <row r="11136">
          <cell r="I11136">
            <v>767.14369958094926</v>
          </cell>
        </row>
        <row r="11147">
          <cell r="I11147">
            <v>137.39596</v>
          </cell>
        </row>
        <row r="11158">
          <cell r="I11158">
            <v>16.99995999999998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130.32318356164393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319.032.589,59</v>
          </cell>
          <cell r="N2" t="str">
            <v>71.948.395,79</v>
          </cell>
        </row>
      </sheetData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82.966189728098797</v>
          </cell>
        </row>
        <row r="48">
          <cell r="I48">
            <v>1509.0499999999959</v>
          </cell>
        </row>
        <row r="59">
          <cell r="I59">
            <v>1710.95</v>
          </cell>
        </row>
        <row r="81">
          <cell r="I81">
            <v>2314</v>
          </cell>
        </row>
        <row r="92">
          <cell r="I92">
            <v>2655.0970543806648</v>
          </cell>
        </row>
        <row r="114">
          <cell r="I114">
            <v>187</v>
          </cell>
        </row>
        <row r="125">
          <cell r="I125">
            <v>206.96978851963746</v>
          </cell>
        </row>
        <row r="147">
          <cell r="I147">
            <v>2745</v>
          </cell>
        </row>
        <row r="158">
          <cell r="I158">
            <v>2769.7583081570997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4221.2084592145011</v>
          </cell>
        </row>
        <row r="257">
          <cell r="I257">
            <v>14299.710171428569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42.579565296803615</v>
          </cell>
        </row>
        <row r="11092">
          <cell r="I11092">
            <v>445.41980287115007</v>
          </cell>
        </row>
        <row r="11103">
          <cell r="I11103">
            <v>0</v>
          </cell>
        </row>
        <row r="11114">
          <cell r="I11114">
            <v>195.40983561643844</v>
          </cell>
        </row>
        <row r="11125">
          <cell r="I11125">
            <v>13.139726027397261</v>
          </cell>
        </row>
        <row r="11136">
          <cell r="I11136">
            <v>548.25186338962897</v>
          </cell>
        </row>
        <row r="11147">
          <cell r="I11147">
            <v>86.173159999999925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146.74661643835631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53.453432694063942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942.87548262548262</v>
          </cell>
        </row>
        <row r="59">
          <cell r="I59">
            <v>1240.8126671985497</v>
          </cell>
        </row>
        <row r="81">
          <cell r="I81">
            <v>3621.7582046332045</v>
          </cell>
        </row>
        <row r="114">
          <cell r="I114">
            <v>335.69999999999982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2863.6534749034749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6165.6514285714311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26.688998356164291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81.312519999999964</v>
          </cell>
        </row>
        <row r="11092">
          <cell r="I11092">
            <v>509.97111640506705</v>
          </cell>
        </row>
        <row r="11103">
          <cell r="I11103">
            <v>0</v>
          </cell>
        </row>
        <row r="11114">
          <cell r="I11114">
            <v>188.83346849315041</v>
          </cell>
        </row>
        <row r="11125">
          <cell r="I11125">
            <v>13.139726027397261</v>
          </cell>
        </row>
        <row r="11136">
          <cell r="I11136">
            <v>861.90331659773665</v>
          </cell>
        </row>
        <row r="11147">
          <cell r="I11147">
            <v>139.83561643835617</v>
          </cell>
        </row>
        <row r="11158">
          <cell r="I11158">
            <v>15.316463561643832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3.6282675164240494</v>
          </cell>
        </row>
        <row r="11202">
          <cell r="I11202">
            <v>130.32318356164396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325.093.609,11</v>
          </cell>
          <cell r="N2" t="str">
            <v>71.948.395,79</v>
          </cell>
        </row>
      </sheetData>
      <sheetData sheetId="7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277.29729729729723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6165.6514285714111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26.688998356164596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141.82186794520567</v>
          </cell>
        </row>
        <row r="11092">
          <cell r="I11092">
            <v>526.13691740188415</v>
          </cell>
        </row>
        <row r="11103">
          <cell r="I11103">
            <v>0</v>
          </cell>
        </row>
        <row r="11114">
          <cell r="I11114">
            <v>193.93346849315071</v>
          </cell>
        </row>
        <row r="11125">
          <cell r="I11125">
            <v>13.139726027397261</v>
          </cell>
        </row>
        <row r="11136">
          <cell r="I11136">
            <v>923.3485610408643</v>
          </cell>
        </row>
        <row r="11147">
          <cell r="I11147">
            <v>139.83561643835617</v>
          </cell>
        </row>
        <row r="11158">
          <cell r="I11158">
            <v>15.316463561643836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0.70160000000003464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339.587.205,44</v>
          </cell>
          <cell r="N2" t="str">
            <v>71.948.395,79</v>
          </cell>
        </row>
      </sheetData>
      <sheetData sheetId="7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1184.284749034749</v>
          </cell>
        </row>
        <row r="59">
          <cell r="I59">
            <v>1486.0463320463321</v>
          </cell>
        </row>
        <row r="81">
          <cell r="I81">
            <v>4325.9225449334281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6165.6514285714202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603.52572545775013</v>
          </cell>
        </row>
        <row r="11103">
          <cell r="I11103">
            <v>0</v>
          </cell>
        </row>
        <row r="11114">
          <cell r="I11114">
            <v>225.86980328767339</v>
          </cell>
        </row>
        <row r="11125">
          <cell r="I11125">
            <v>13.139726027397261</v>
          </cell>
        </row>
        <row r="11136">
          <cell r="I11136">
            <v>825.79648876202771</v>
          </cell>
        </row>
        <row r="11147">
          <cell r="I11147">
            <v>136.01404000000002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347.392.142,88</v>
          </cell>
          <cell r="N2" t="str">
            <v>71.948.395,79</v>
          </cell>
        </row>
      </sheetData>
      <sheetData sheetId="7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1425.6940154440153</v>
          </cell>
        </row>
        <row r="59">
          <cell r="I59">
            <v>1771.0000000000002</v>
          </cell>
        </row>
        <row r="81">
          <cell r="I81">
            <v>2314</v>
          </cell>
        </row>
        <row r="114">
          <cell r="I114">
            <v>308.22586872586874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3252.4362934362998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5176.7999999999811</v>
          </cell>
        </row>
        <row r="224">
          <cell r="I224">
            <v>6327.2000000000007</v>
          </cell>
        </row>
        <row r="257">
          <cell r="I257">
            <v>6165.6514285714293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91.848334246575234</v>
          </cell>
        </row>
        <row r="11026">
          <cell r="I11026">
            <v>50.013562962962979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103.81441600549161</v>
          </cell>
        </row>
        <row r="11092">
          <cell r="I11092">
            <v>522.77113654973664</v>
          </cell>
        </row>
        <row r="11103">
          <cell r="I11103">
            <v>0</v>
          </cell>
        </row>
        <row r="11114">
          <cell r="I11114">
            <v>147.59286986301362</v>
          </cell>
        </row>
        <row r="11125">
          <cell r="I11125">
            <v>13.139726027397261</v>
          </cell>
        </row>
        <row r="11136">
          <cell r="I11136">
            <v>858.92064297531783</v>
          </cell>
        </row>
        <row r="11147">
          <cell r="I11147">
            <v>138.55343999999997</v>
          </cell>
        </row>
        <row r="11158">
          <cell r="I11158">
            <v>26.613040000000016</v>
          </cell>
        </row>
        <row r="11169">
          <cell r="I11169">
            <v>63.287671232876711</v>
          </cell>
        </row>
        <row r="11180">
          <cell r="I11180">
            <v>102.33083643835411</v>
          </cell>
        </row>
        <row r="11191">
          <cell r="I11191">
            <v>0.85460000000005465</v>
          </cell>
        </row>
        <row r="11202">
          <cell r="I11202">
            <v>89.666216438356244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341.774.289,10</v>
          </cell>
          <cell r="N2" t="str">
            <v>71.948.395,79</v>
          </cell>
        </row>
      </sheetData>
      <sheetData sheetId="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1063.5801158301158</v>
          </cell>
        </row>
        <row r="59">
          <cell r="I59">
            <v>1304.9893822393822</v>
          </cell>
        </row>
        <row r="81">
          <cell r="I81">
            <v>3828.648574534458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6165.6514285714284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140.10482119299854</v>
          </cell>
        </row>
        <row r="11092">
          <cell r="I11092">
            <v>479.28137016576619</v>
          </cell>
        </row>
        <row r="11103">
          <cell r="I11103">
            <v>0</v>
          </cell>
        </row>
        <row r="11114">
          <cell r="I11114">
            <v>194.30582841229526</v>
          </cell>
        </row>
        <row r="11125">
          <cell r="I11125">
            <v>13.139726027397261</v>
          </cell>
        </row>
        <row r="11136">
          <cell r="I11136">
            <v>890.66129541379473</v>
          </cell>
        </row>
        <row r="11147">
          <cell r="I11147">
            <v>139.83561643835617</v>
          </cell>
        </row>
        <row r="11158">
          <cell r="I11158">
            <v>15.316463561643811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128.84621643835618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327.220.984,63</v>
          </cell>
          <cell r="N2" t="str">
            <v>71.948.395,79</v>
          </cell>
        </row>
      </sheetData>
      <sheetData sheetId="7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279</v>
          </cell>
        </row>
        <row r="59">
          <cell r="I59">
            <v>329.29359716859716</v>
          </cell>
        </row>
        <row r="81">
          <cell r="I81">
            <v>4202.9840733590736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6165.6514285714393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566.79794319054531</v>
          </cell>
        </row>
        <row r="11103">
          <cell r="I11103">
            <v>0</v>
          </cell>
        </row>
        <row r="11114">
          <cell r="I11114">
            <v>202.18527780821933</v>
          </cell>
        </row>
        <row r="11125">
          <cell r="I11125">
            <v>13.139726027397261</v>
          </cell>
        </row>
        <row r="11136">
          <cell r="I11136">
            <v>960.57181624019768</v>
          </cell>
        </row>
        <row r="11147">
          <cell r="I11147">
            <v>139.83561643835617</v>
          </cell>
        </row>
        <row r="11158">
          <cell r="I11158">
            <v>15.316463561643765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329.629.233,75</v>
          </cell>
          <cell r="N2" t="str">
            <v>71.948.395,79</v>
          </cell>
        </row>
      </sheetData>
      <sheetData sheetId="7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256.20986797075079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187</v>
          </cell>
        </row>
        <row r="125">
          <cell r="I125">
            <v>187.00000000000068</v>
          </cell>
        </row>
        <row r="147">
          <cell r="I147">
            <v>2839.9227799227801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6165.6514285714165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160.54103835616439</v>
          </cell>
        </row>
        <row r="11026">
          <cell r="I11026">
            <v>57.894334469812286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101.25069363260289</v>
          </cell>
        </row>
        <row r="11092">
          <cell r="I11092">
            <v>495.08787924705553</v>
          </cell>
        </row>
        <row r="11103">
          <cell r="I11103">
            <v>0</v>
          </cell>
        </row>
        <row r="11114">
          <cell r="I11114">
            <v>196.14153401296119</v>
          </cell>
        </row>
        <row r="11125">
          <cell r="I11125">
            <v>13.139726027397261</v>
          </cell>
        </row>
        <row r="11136">
          <cell r="I11136">
            <v>958.22803384146403</v>
          </cell>
        </row>
        <row r="11147">
          <cell r="I11147">
            <v>139.83561643835617</v>
          </cell>
        </row>
        <row r="11158">
          <cell r="I11158">
            <v>15.316463561643822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145.14130261384503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327.624.884,03</v>
          </cell>
          <cell r="N2" t="str">
            <v>71.948.395,79</v>
          </cell>
        </row>
      </sheetData>
      <sheetData sheetId="7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14223.844769725049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162.37142465753425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110.91319634703181</v>
          </cell>
        </row>
        <row r="11081">
          <cell r="I11081">
            <v>48.010800000000017</v>
          </cell>
        </row>
        <row r="11092">
          <cell r="I11092">
            <v>365.78654650104744</v>
          </cell>
        </row>
        <row r="11103">
          <cell r="I11103">
            <v>0</v>
          </cell>
        </row>
        <row r="11114">
          <cell r="I11114">
            <v>145.79727288581626</v>
          </cell>
        </row>
        <row r="11125">
          <cell r="I11125">
            <v>13.139726027397261</v>
          </cell>
        </row>
        <row r="11136">
          <cell r="I11136">
            <v>515.19747142487029</v>
          </cell>
        </row>
        <row r="11147">
          <cell r="I11147">
            <v>139.83561643835617</v>
          </cell>
        </row>
        <row r="11158">
          <cell r="I11158">
            <v>10.740672876712228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78.435881450151086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339.985.632,59</v>
          </cell>
          <cell r="N2" t="str">
            <v>35.380.701,91</v>
          </cell>
        </row>
      </sheetData>
      <sheetData sheetId="7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746.90925768792931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3247.4714879154049</v>
          </cell>
        </row>
        <row r="180">
          <cell r="I180">
            <v>3063</v>
          </cell>
        </row>
        <row r="191">
          <cell r="I191">
            <v>3066.9999999999991</v>
          </cell>
        </row>
        <row r="213">
          <cell r="I213">
            <v>4276.510574018127</v>
          </cell>
        </row>
        <row r="224">
          <cell r="I224">
            <v>4497.7190332326281</v>
          </cell>
        </row>
        <row r="257">
          <cell r="I257">
            <v>14223.844769725047</v>
          </cell>
        </row>
        <row r="10960">
          <cell r="I10960">
            <v>88.384873972603032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35.257587861606595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30.02789446981226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53.479023455664731</v>
          </cell>
        </row>
        <row r="11092">
          <cell r="I11092">
            <v>318.28572616798419</v>
          </cell>
        </row>
        <row r="11103">
          <cell r="I11103">
            <v>0</v>
          </cell>
        </row>
        <row r="11114">
          <cell r="I11114">
            <v>120.29005664361998</v>
          </cell>
        </row>
        <row r="11125">
          <cell r="I11125">
            <v>13.139726027397261</v>
          </cell>
        </row>
        <row r="11136">
          <cell r="I11136">
            <v>602.79567367930724</v>
          </cell>
        </row>
        <row r="11147">
          <cell r="I11147">
            <v>139.83561643835617</v>
          </cell>
        </row>
        <row r="11158">
          <cell r="I11158">
            <v>12.141839999999995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322.393.651,59</v>
          </cell>
          <cell r="N2" t="str">
            <v>35.380.701,91</v>
          </cell>
        </row>
      </sheetData>
      <sheetData sheetId="7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351.2869011924596</v>
          </cell>
        </row>
        <row r="81">
          <cell r="I81">
            <v>2314</v>
          </cell>
        </row>
        <row r="114">
          <cell r="I114">
            <v>187</v>
          </cell>
        </row>
        <row r="125">
          <cell r="I125">
            <v>187.00000000000011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5176.7999999999956</v>
          </cell>
        </row>
        <row r="224">
          <cell r="I224">
            <v>6327.2000000000007</v>
          </cell>
        </row>
        <row r="257">
          <cell r="I257">
            <v>14223.844769725039</v>
          </cell>
        </row>
        <row r="10960">
          <cell r="I10960">
            <v>91.505641146620519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19.249732876712304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74.010799999999989</v>
          </cell>
        </row>
        <row r="11092">
          <cell r="I11092">
            <v>352.31183124897359</v>
          </cell>
        </row>
        <row r="11103">
          <cell r="I11103">
            <v>0</v>
          </cell>
        </row>
        <row r="11114">
          <cell r="I11114">
            <v>112.30106849315089</v>
          </cell>
        </row>
        <row r="11125">
          <cell r="I11125">
            <v>13.139726027397261</v>
          </cell>
        </row>
        <row r="11136">
          <cell r="I11136">
            <v>736.52268303556411</v>
          </cell>
        </row>
        <row r="11147">
          <cell r="I11147">
            <v>133.33315999999996</v>
          </cell>
        </row>
        <row r="11158">
          <cell r="I11158">
            <v>6.668160000000058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92.410616438356357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309.148.721,81</v>
          </cell>
          <cell r="N2" t="str">
            <v>35.380.701,91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231.08108108108104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92">
          <cell r="I92">
            <v>4202.9840733590736</v>
          </cell>
        </row>
        <row r="114">
          <cell r="I114">
            <v>257.18339768339769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3260.3465250965237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4745.6424032432415</v>
          </cell>
        </row>
        <row r="224">
          <cell r="I224">
            <v>5060.135135135135</v>
          </cell>
        </row>
        <row r="257">
          <cell r="I257">
            <v>6165.6596571428563</v>
          </cell>
        </row>
        <row r="10960">
          <cell r="I10960">
            <v>186.21011711825091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34.306767123287692</v>
          </cell>
        </row>
        <row r="11004">
          <cell r="I11004">
            <v>0</v>
          </cell>
        </row>
        <row r="11015">
          <cell r="I11015">
            <v>134.05978082191766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493.75181565867922</v>
          </cell>
        </row>
        <row r="11103">
          <cell r="I11103">
            <v>0</v>
          </cell>
        </row>
        <row r="11114">
          <cell r="I11114">
            <v>205.03346849315071</v>
          </cell>
        </row>
        <row r="11125">
          <cell r="I11125">
            <v>13.139726027397261</v>
          </cell>
        </row>
        <row r="11136">
          <cell r="I11136">
            <v>827.35623472505472</v>
          </cell>
        </row>
        <row r="11147">
          <cell r="I11147">
            <v>101.25403999999999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159.71132488707931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92">
          <cell r="I92">
            <v>3204.5122622356498</v>
          </cell>
        </row>
        <row r="114">
          <cell r="I114">
            <v>335.70000000000016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4276.510574018127</v>
          </cell>
        </row>
        <row r="224">
          <cell r="I224">
            <v>4497.7190332326281</v>
          </cell>
        </row>
        <row r="257">
          <cell r="I257">
            <v>14299.710171428573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49.398885337392194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134.99719806146354</v>
          </cell>
        </row>
        <row r="11081">
          <cell r="I11081">
            <v>22.010799999999918</v>
          </cell>
        </row>
        <row r="11092">
          <cell r="I11092">
            <v>383.38464936959804</v>
          </cell>
        </row>
        <row r="11103">
          <cell r="I11103">
            <v>0</v>
          </cell>
        </row>
        <row r="11114">
          <cell r="I11114">
            <v>195.40983561643844</v>
          </cell>
        </row>
        <row r="11125">
          <cell r="I11125">
            <v>13.139726027397261</v>
          </cell>
        </row>
        <row r="11136">
          <cell r="I11136">
            <v>607.3073293063477</v>
          </cell>
        </row>
        <row r="11147">
          <cell r="I11147">
            <v>92.729255658926419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3758.4303113133055</v>
          </cell>
        </row>
        <row r="114">
          <cell r="I114">
            <v>187</v>
          </cell>
        </row>
        <row r="125">
          <cell r="I125">
            <v>187.00000000000011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14223.844769725047</v>
          </cell>
        </row>
        <row r="10960">
          <cell r="I10960">
            <v>132.9171123287673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162.04978082191769</v>
          </cell>
        </row>
        <row r="11026">
          <cell r="I11026">
            <v>48.101037037037003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53.293146695133615</v>
          </cell>
        </row>
        <row r="11092">
          <cell r="I11092">
            <v>369.12670754383549</v>
          </cell>
        </row>
        <row r="11103">
          <cell r="I11103">
            <v>0</v>
          </cell>
        </row>
        <row r="11114">
          <cell r="I11114">
            <v>205.38983561643843</v>
          </cell>
        </row>
        <row r="11125">
          <cell r="I11125">
            <v>13.139726027397261</v>
          </cell>
        </row>
        <row r="11136">
          <cell r="I11136">
            <v>723.14418834517392</v>
          </cell>
        </row>
        <row r="11147">
          <cell r="I11147">
            <v>133.3238399999999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317.256.212,64</v>
          </cell>
          <cell r="N2" t="str">
            <v>35.380.701,91</v>
          </cell>
        </row>
      </sheetData>
      <sheetData sheetId="7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4510.1739857845987</v>
          </cell>
        </row>
        <row r="257">
          <cell r="I257">
            <v>14223.844769725054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19.049732876712323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44.070160324708304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110.91319634703206</v>
          </cell>
        </row>
        <row r="11081">
          <cell r="I11081">
            <v>48.010800000000081</v>
          </cell>
        </row>
        <row r="11092">
          <cell r="I11092">
            <v>392.21569065355436</v>
          </cell>
        </row>
        <row r="11103">
          <cell r="I11103">
            <v>0</v>
          </cell>
        </row>
        <row r="11114">
          <cell r="I11114">
            <v>157.57674630135662</v>
          </cell>
        </row>
        <row r="11125">
          <cell r="I11125">
            <v>13.139726027397261</v>
          </cell>
        </row>
        <row r="11136">
          <cell r="I11136">
            <v>580.75451989356986</v>
          </cell>
        </row>
        <row r="11147">
          <cell r="I11147">
            <v>139.83561643835617</v>
          </cell>
        </row>
        <row r="11158">
          <cell r="I11158">
            <v>21.095097127627344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139.55838356164384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5.4682234556648375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338.106.303,83</v>
          </cell>
          <cell r="N2" t="str">
            <v>35.380.701,91</v>
          </cell>
        </row>
      </sheetData>
      <sheetData sheetId="7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18.081570996978851</v>
          </cell>
        </row>
        <row r="26">
          <cell r="I26">
            <v>90.407854984894257</v>
          </cell>
        </row>
        <row r="48">
          <cell r="I48">
            <v>1448.9999999999984</v>
          </cell>
        </row>
        <row r="59">
          <cell r="I59">
            <v>1771.0000000000002</v>
          </cell>
        </row>
        <row r="81">
          <cell r="I81">
            <v>2314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2751.1895770392748</v>
          </cell>
        </row>
        <row r="158">
          <cell r="I158">
            <v>2775.9478851963745</v>
          </cell>
        </row>
        <row r="180">
          <cell r="I180">
            <v>3063</v>
          </cell>
        </row>
        <row r="191">
          <cell r="I191">
            <v>3063.0000000000018</v>
          </cell>
        </row>
        <row r="213">
          <cell r="I213">
            <v>4055.3021148036255</v>
          </cell>
        </row>
        <row r="224">
          <cell r="I224">
            <v>4276.510574018127</v>
          </cell>
        </row>
        <row r="257">
          <cell r="I257">
            <v>14223.844769725047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33.687732876712353</v>
          </cell>
        </row>
        <row r="11004">
          <cell r="I11004">
            <v>0</v>
          </cell>
        </row>
        <row r="11015">
          <cell r="I11015">
            <v>147.83657534246581</v>
          </cell>
        </row>
        <row r="11026">
          <cell r="I11026">
            <v>49.02789446981226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0</v>
          </cell>
        </row>
        <row r="11092">
          <cell r="I11092">
            <v>309.80361130778221</v>
          </cell>
        </row>
        <row r="11103">
          <cell r="I11103">
            <v>0</v>
          </cell>
        </row>
        <row r="11114">
          <cell r="I11114">
            <v>177.45721913255653</v>
          </cell>
        </row>
        <row r="11125">
          <cell r="I11125">
            <v>13.139726027397261</v>
          </cell>
        </row>
        <row r="11136">
          <cell r="I11136">
            <v>678.34903633568524</v>
          </cell>
        </row>
        <row r="11147">
          <cell r="I11147">
            <v>122.49315999999993</v>
          </cell>
        </row>
        <row r="11158">
          <cell r="I11158">
            <v>6.3081600000000257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135.1933288126491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332.354.290,74</v>
          </cell>
          <cell r="N2" t="str">
            <v>35.380.701,91</v>
          </cell>
        </row>
      </sheetData>
      <sheetData sheetId="7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180.81570996978851</v>
          </cell>
        </row>
        <row r="48">
          <cell r="I48">
            <v>523.05653865469515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335.7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14223.844769725052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38.657587861606579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44.070160324708304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140.00624246555381</v>
          </cell>
        </row>
        <row r="11081">
          <cell r="I11081">
            <v>48.010800000000081</v>
          </cell>
        </row>
        <row r="11092">
          <cell r="I11092">
            <v>340.3173957721757</v>
          </cell>
        </row>
        <row r="11103">
          <cell r="I11103">
            <v>0</v>
          </cell>
        </row>
        <row r="11114">
          <cell r="I11114">
            <v>146.79673210031766</v>
          </cell>
        </row>
        <row r="11125">
          <cell r="I11125">
            <v>13.139726027397261</v>
          </cell>
        </row>
        <row r="11136">
          <cell r="I11136">
            <v>553.97606446022678</v>
          </cell>
        </row>
        <row r="11147">
          <cell r="I11147">
            <v>139.83561643835617</v>
          </cell>
        </row>
        <row r="11158">
          <cell r="I11158">
            <v>6.3418399999999764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39.539959999999795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338.166.135,85</v>
          </cell>
          <cell r="N2" t="str">
            <v>35.380.701,91</v>
          </cell>
        </row>
      </sheetData>
      <sheetData sheetId="7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3066.9999999999991</v>
          </cell>
        </row>
        <row r="213">
          <cell r="I213">
            <v>4331.8126888217521</v>
          </cell>
        </row>
        <row r="224">
          <cell r="I224">
            <v>4590.3892425821805</v>
          </cell>
        </row>
        <row r="257">
          <cell r="I257">
            <v>14223.844769725052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35.662267123287691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48.01080000000001</v>
          </cell>
        </row>
        <row r="11092">
          <cell r="I11092">
            <v>287.59457230221665</v>
          </cell>
        </row>
        <row r="11103">
          <cell r="I11103">
            <v>0</v>
          </cell>
        </row>
        <row r="11114">
          <cell r="I11114">
            <v>151.75978739724516</v>
          </cell>
        </row>
        <row r="11125">
          <cell r="I11125">
            <v>13.139726027397261</v>
          </cell>
        </row>
        <row r="11136">
          <cell r="I11136">
            <v>492.20490220995674</v>
          </cell>
        </row>
        <row r="11147">
          <cell r="I11147">
            <v>139.83561643835617</v>
          </cell>
        </row>
        <row r="11158">
          <cell r="I11158">
            <v>12.141839999999961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78.435881450151086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356.417.712,20</v>
          </cell>
          <cell r="N2" t="str">
            <v>35.380.701,91</v>
          </cell>
        </row>
      </sheetData>
      <sheetData sheetId="7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235.06042296072508</v>
          </cell>
        </row>
        <row r="48">
          <cell r="I48">
            <v>689.95193140393724</v>
          </cell>
        </row>
        <row r="59">
          <cell r="I59">
            <v>892.91616314199393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251.90181268882174</v>
          </cell>
        </row>
        <row r="147">
          <cell r="I147">
            <v>2794.5166163141994</v>
          </cell>
        </row>
        <row r="158">
          <cell r="I158">
            <v>2825.4645015105739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14223.844769725063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44.467894469812265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48.01080000000006</v>
          </cell>
        </row>
        <row r="11092">
          <cell r="I11092">
            <v>377.43915751456052</v>
          </cell>
        </row>
        <row r="11103">
          <cell r="I11103">
            <v>0</v>
          </cell>
        </row>
        <row r="11114">
          <cell r="I11114">
            <v>195.15799726027407</v>
          </cell>
        </row>
        <row r="11125">
          <cell r="I11125">
            <v>13.139726027397261</v>
          </cell>
        </row>
        <row r="11136">
          <cell r="I11136">
            <v>500.82039288656819</v>
          </cell>
        </row>
        <row r="11147">
          <cell r="I11147">
            <v>133.98933369863005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39.539959999999851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364.405.526,11</v>
          </cell>
          <cell r="N2" t="str">
            <v>35.380.701,91</v>
          </cell>
        </row>
      </sheetData>
      <sheetData sheetId="7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198.89728096676737</v>
          </cell>
        </row>
        <row r="26">
          <cell r="I26">
            <v>289.30513595166161</v>
          </cell>
        </row>
        <row r="48">
          <cell r="I48">
            <v>812.42360814108611</v>
          </cell>
        </row>
        <row r="59">
          <cell r="I59">
            <v>1034.5891238670695</v>
          </cell>
        </row>
        <row r="81">
          <cell r="I81">
            <v>2314</v>
          </cell>
        </row>
        <row r="114">
          <cell r="I114">
            <v>241.916918429003</v>
          </cell>
        </row>
        <row r="125">
          <cell r="I125">
            <v>266.87915407854985</v>
          </cell>
        </row>
        <row r="147">
          <cell r="I147">
            <v>2813.0853474320243</v>
          </cell>
        </row>
        <row r="158">
          <cell r="I158">
            <v>2844.0332326283988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4608.3232628398791</v>
          </cell>
        </row>
        <row r="224">
          <cell r="I224">
            <v>4884.8338368580062</v>
          </cell>
        </row>
        <row r="257">
          <cell r="I257">
            <v>14223.844769725056</v>
          </cell>
        </row>
        <row r="10960">
          <cell r="I10960">
            <v>76.178347498731256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19.563462162809959</v>
          </cell>
        </row>
        <row r="11004">
          <cell r="I11004">
            <v>0</v>
          </cell>
        </row>
        <row r="11015">
          <cell r="I11015">
            <v>147.83657534246578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97.327803652968228</v>
          </cell>
        </row>
        <row r="11081">
          <cell r="I11081">
            <v>116.30819999999994</v>
          </cell>
        </row>
        <row r="11092">
          <cell r="I11092">
            <v>542.7798771859068</v>
          </cell>
        </row>
        <row r="11103">
          <cell r="I11103">
            <v>0</v>
          </cell>
        </row>
        <row r="11114">
          <cell r="I11114">
            <v>128.1169315068494</v>
          </cell>
        </row>
        <row r="11125">
          <cell r="I11125">
            <v>13.139726027397261</v>
          </cell>
        </row>
        <row r="11136">
          <cell r="I11136">
            <v>702.14160146456697</v>
          </cell>
        </row>
        <row r="11147">
          <cell r="I11147">
            <v>139.83561643835617</v>
          </cell>
        </row>
        <row r="11158">
          <cell r="I11158">
            <v>8.3657035616438051</v>
          </cell>
        </row>
        <row r="11169">
          <cell r="I11169">
            <v>63.287671232876711</v>
          </cell>
        </row>
        <row r="11180">
          <cell r="I11180">
            <v>103.0493040081178</v>
          </cell>
        </row>
        <row r="11191">
          <cell r="I11191">
            <v>10.307452054794521</v>
          </cell>
        </row>
        <row r="11202">
          <cell r="I11202">
            <v>139.55838356164369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92.739925161291652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354.737.724,04</v>
          </cell>
          <cell r="N2" t="str">
            <v>35.380.701,91</v>
          </cell>
        </row>
      </sheetData>
      <sheetData sheetId="7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609.57024169184285</v>
          </cell>
        </row>
        <row r="59">
          <cell r="I59">
            <v>798.46752265861028</v>
          </cell>
        </row>
        <row r="81">
          <cell r="I81">
            <v>2882.4950906344411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2813.0853474320243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4332.0452093495533</v>
          </cell>
        </row>
        <row r="224">
          <cell r="I224">
            <v>4608.3232628398791</v>
          </cell>
        </row>
        <row r="257">
          <cell r="I257">
            <v>14223.844769725041</v>
          </cell>
        </row>
        <row r="10960">
          <cell r="I10960">
            <v>96.326778082191595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27.281813848141688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44.070160324708326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48.010799999999961</v>
          </cell>
        </row>
        <row r="11092">
          <cell r="I11092">
            <v>466.52887795357321</v>
          </cell>
        </row>
        <row r="11103">
          <cell r="I11103">
            <v>0</v>
          </cell>
        </row>
        <row r="11114">
          <cell r="I11114">
            <v>170.60106849315071</v>
          </cell>
        </row>
        <row r="11125">
          <cell r="I11125">
            <v>13.139726027397261</v>
          </cell>
        </row>
        <row r="11136">
          <cell r="I11136">
            <v>560.11789853543371</v>
          </cell>
        </row>
        <row r="11147">
          <cell r="I11147">
            <v>139.83561643835617</v>
          </cell>
        </row>
        <row r="11158">
          <cell r="I11158">
            <v>12.14183999999999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152.22881674681278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42.704819096998534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340.131.074,39</v>
          </cell>
          <cell r="N2" t="str">
            <v>35.380.701,91</v>
          </cell>
        </row>
      </sheetData>
      <sheetData sheetId="7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3066.9999999999991</v>
          </cell>
        </row>
        <row r="213">
          <cell r="I213">
            <v>4442.4169184290031</v>
          </cell>
        </row>
        <row r="224">
          <cell r="I224">
            <v>4663.6253776435042</v>
          </cell>
        </row>
        <row r="257">
          <cell r="I257">
            <v>14223.844769725036</v>
          </cell>
        </row>
        <row r="10960">
          <cell r="I10960">
            <v>122.69192249974201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37.914767123287639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44.070160324708276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160.61128043835606</v>
          </cell>
        </row>
        <row r="11081">
          <cell r="I11081">
            <v>48.010800000000017</v>
          </cell>
        </row>
        <row r="11092">
          <cell r="I11092">
            <v>339.014543568124</v>
          </cell>
        </row>
        <row r="11103">
          <cell r="I11103">
            <v>0</v>
          </cell>
        </row>
        <row r="11114">
          <cell r="I11114">
            <v>189.17674630136429</v>
          </cell>
        </row>
        <row r="11125">
          <cell r="I11125">
            <v>13.139726027397261</v>
          </cell>
        </row>
        <row r="11136">
          <cell r="I11136">
            <v>729.92714588699914</v>
          </cell>
        </row>
        <row r="11147">
          <cell r="I11147">
            <v>139.83561643835617</v>
          </cell>
        </row>
        <row r="11158">
          <cell r="I11158">
            <v>8.3657035616438229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139.55838356164386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32.004960000000089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342.104.967,73</v>
          </cell>
          <cell r="N2" t="str">
            <v>35.380.701,91</v>
          </cell>
        </row>
      </sheetData>
      <sheetData sheetId="7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4571.2351640323432</v>
          </cell>
        </row>
        <row r="257">
          <cell r="I257">
            <v>14223.844769725061</v>
          </cell>
        </row>
        <row r="10960">
          <cell r="I10960">
            <v>71.539189041095824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110.913196347032</v>
          </cell>
        </row>
        <row r="11081">
          <cell r="I11081">
            <v>48.010799999999961</v>
          </cell>
        </row>
        <row r="11092">
          <cell r="I11092">
            <v>529.26089517160744</v>
          </cell>
        </row>
        <row r="11103">
          <cell r="I11103">
            <v>0</v>
          </cell>
        </row>
        <row r="11114">
          <cell r="I11114">
            <v>147.08015235214384</v>
          </cell>
        </row>
        <row r="11125">
          <cell r="I11125">
            <v>13.139726027397261</v>
          </cell>
        </row>
        <row r="11136">
          <cell r="I11136">
            <v>523.91944477948846</v>
          </cell>
        </row>
        <row r="11147">
          <cell r="I11147">
            <v>139.83561643835617</v>
          </cell>
        </row>
        <row r="11158">
          <cell r="I11158">
            <v>12.141839999999981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139.55838356164389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42.704819096998918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341.162.184,25</v>
          </cell>
          <cell r="N2" t="str">
            <v>35.380.701,91</v>
          </cell>
        </row>
      </sheetData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92">
          <cell r="I92">
            <v>3223.5921450151059</v>
          </cell>
        </row>
        <row r="114">
          <cell r="I114">
            <v>211.96223564954681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4314.8094676737137</v>
          </cell>
        </row>
        <row r="224">
          <cell r="I224">
            <v>4553.0211480362541</v>
          </cell>
        </row>
        <row r="257">
          <cell r="I257">
            <v>14299.71017142856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32.306767123287692</v>
          </cell>
        </row>
        <row r="11004">
          <cell r="I11004">
            <v>0</v>
          </cell>
        </row>
        <row r="11015">
          <cell r="I11015">
            <v>146.39707615376059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136.42954885504668</v>
          </cell>
        </row>
        <row r="11081">
          <cell r="I11081">
            <v>33.849108092264956</v>
          </cell>
        </row>
        <row r="11092">
          <cell r="I11092">
            <v>427.01756886549987</v>
          </cell>
        </row>
        <row r="11103">
          <cell r="I11103">
            <v>0</v>
          </cell>
        </row>
        <row r="11114">
          <cell r="I11114">
            <v>195.40983561643836</v>
          </cell>
        </row>
        <row r="11125">
          <cell r="I11125">
            <v>13.139726027397261</v>
          </cell>
        </row>
        <row r="11136">
          <cell r="I11136">
            <v>652.27625652809468</v>
          </cell>
        </row>
        <row r="11147">
          <cell r="I11147">
            <v>67.093707639811669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146.74661643835617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3643.1983040059208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6165.6637714285907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19.921939726027333</v>
          </cell>
        </row>
        <row r="10993">
          <cell r="I10993">
            <v>33.616767123287659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504.21029074963604</v>
          </cell>
        </row>
        <row r="11103">
          <cell r="I11103">
            <v>0</v>
          </cell>
        </row>
        <row r="11114">
          <cell r="I11114">
            <v>205.03346849315062</v>
          </cell>
        </row>
        <row r="11125">
          <cell r="I11125">
            <v>13.139726027397261</v>
          </cell>
        </row>
        <row r="11136">
          <cell r="I11136">
            <v>883.69267487949571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127.14827887079042</v>
          </cell>
        </row>
        <row r="11213">
          <cell r="I11213">
            <v>3.4549610958904076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328.278.398,61</v>
          </cell>
          <cell r="N2" t="str">
            <v>71.928.700,54</v>
          </cell>
        </row>
      </sheetData>
      <sheetData sheetId="7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231.08108108108104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114">
          <cell r="I114">
            <v>257.18339768339769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3260.3465250965251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4744.6239796815989</v>
          </cell>
        </row>
        <row r="224">
          <cell r="I224">
            <v>5060.135135135135</v>
          </cell>
        </row>
        <row r="257">
          <cell r="I257">
            <v>6165.6637714285798</v>
          </cell>
        </row>
        <row r="10960">
          <cell r="I10960">
            <v>207.26096645553355</v>
          </cell>
        </row>
        <row r="10971">
          <cell r="I10971">
            <v>42.493150684931507</v>
          </cell>
        </row>
        <row r="10982">
          <cell r="I10982">
            <v>26.883863426027329</v>
          </cell>
        </row>
        <row r="10993">
          <cell r="I10993">
            <v>33.616767123287701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445.6735882614197</v>
          </cell>
        </row>
        <row r="11103">
          <cell r="I11103">
            <v>0</v>
          </cell>
        </row>
        <row r="11114">
          <cell r="I11114">
            <v>205.03346849315059</v>
          </cell>
        </row>
        <row r="11125">
          <cell r="I11125">
            <v>13.139726027397261</v>
          </cell>
        </row>
        <row r="11136">
          <cell r="I11136">
            <v>818.15623472505479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146.77918356164389</v>
          </cell>
        </row>
        <row r="11213">
          <cell r="I11213">
            <v>6.1596833566450968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314.043.113,44</v>
          </cell>
          <cell r="N2" t="str">
            <v>71.928.700,54</v>
          </cell>
        </row>
      </sheetData>
      <sheetData sheetId="7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264</v>
          </cell>
        </row>
        <row r="48">
          <cell r="I48">
            <v>761.81853281853284</v>
          </cell>
        </row>
        <row r="59">
          <cell r="I59">
            <v>1026.5700000000002</v>
          </cell>
        </row>
        <row r="81">
          <cell r="I81">
            <v>3185.8388030888032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5176.7999999999811</v>
          </cell>
        </row>
        <row r="224">
          <cell r="I224">
            <v>6327.2000000000007</v>
          </cell>
        </row>
        <row r="257">
          <cell r="I257">
            <v>6165.6637714286117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36.541013698630138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67.006480000000053</v>
          </cell>
        </row>
        <row r="11092">
          <cell r="I11092">
            <v>543.58048442149266</v>
          </cell>
        </row>
        <row r="11103">
          <cell r="I11103">
            <v>0</v>
          </cell>
        </row>
        <row r="11114">
          <cell r="I11114">
            <v>100.59346849315065</v>
          </cell>
        </row>
        <row r="11125">
          <cell r="I11125">
            <v>13.139726027397259</v>
          </cell>
        </row>
        <row r="11136">
          <cell r="I11136">
            <v>848.541947651844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24.38563548892688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301.673.061,26</v>
          </cell>
          <cell r="N2" t="str">
            <v>71.928.700,54</v>
          </cell>
        </row>
      </sheetData>
      <sheetData sheetId="7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46.21621621621621</v>
          </cell>
        </row>
        <row r="26">
          <cell r="I26">
            <v>158.4</v>
          </cell>
        </row>
        <row r="48">
          <cell r="I48">
            <v>399.70463320463318</v>
          </cell>
        </row>
        <row r="59">
          <cell r="I59">
            <v>641.11389961389966</v>
          </cell>
        </row>
        <row r="81">
          <cell r="I81">
            <v>5044.5000000000027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2760.8204633204632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4141.3513513513517</v>
          </cell>
        </row>
        <row r="224">
          <cell r="I224">
            <v>4461.4943117279245</v>
          </cell>
        </row>
        <row r="257">
          <cell r="I257">
            <v>6165.6637714285753</v>
          </cell>
        </row>
        <row r="10960">
          <cell r="I10960">
            <v>188.38994312828936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530.59048786136316</v>
          </cell>
        </row>
        <row r="11103">
          <cell r="I11103">
            <v>0</v>
          </cell>
        </row>
        <row r="11114">
          <cell r="I11114">
            <v>213.64223561643837</v>
          </cell>
        </row>
        <row r="11125">
          <cell r="I11125">
            <v>13.139726027397261</v>
          </cell>
        </row>
        <row r="11136">
          <cell r="I11136">
            <v>684.32565021703113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5.1016000000000368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59.173869687698911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304.227.461,11</v>
          </cell>
          <cell r="N2" t="str">
            <v>71.928.700,54</v>
          </cell>
        </row>
      </sheetData>
      <sheetData sheetId="7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3633.3874931951109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6165.6637714285735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19.921939726027336</v>
          </cell>
        </row>
        <row r="10993">
          <cell r="I10993">
            <v>33.616767123287637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553.97215119639884</v>
          </cell>
        </row>
        <row r="11103">
          <cell r="I11103">
            <v>0</v>
          </cell>
        </row>
        <row r="11114">
          <cell r="I11114">
            <v>205.03346849315074</v>
          </cell>
        </row>
        <row r="11125">
          <cell r="I11125">
            <v>13.139726027397261</v>
          </cell>
        </row>
        <row r="11136">
          <cell r="I11136">
            <v>833.93081443273206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127.14827887078995</v>
          </cell>
        </row>
        <row r="11213">
          <cell r="I11213">
            <v>3.4549610958904076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326.971.959,31</v>
          </cell>
          <cell r="N2" t="str">
            <v>71.928.700,54</v>
          </cell>
        </row>
      </sheetData>
      <sheetData sheetId="7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264</v>
          </cell>
        </row>
        <row r="48">
          <cell r="I48">
            <v>1509.0499999999995</v>
          </cell>
        </row>
        <row r="59">
          <cell r="I59">
            <v>1710.95</v>
          </cell>
        </row>
        <row r="81">
          <cell r="I81">
            <v>3408.2441843148035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6165.6637714285689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5.7375252760273714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585.16673094529688</v>
          </cell>
        </row>
        <row r="11103">
          <cell r="I11103">
            <v>0</v>
          </cell>
        </row>
        <row r="11114">
          <cell r="I11114">
            <v>197.70872054794515</v>
          </cell>
        </row>
        <row r="11125">
          <cell r="I11125">
            <v>13.139726027397261</v>
          </cell>
        </row>
        <row r="11136">
          <cell r="I11136">
            <v>778.82714619048079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146.77918356164389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320.665.240,13</v>
          </cell>
          <cell r="N2" t="str">
            <v>71.928.700,54</v>
          </cell>
        </row>
      </sheetData>
      <sheetData sheetId="7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114">
          <cell r="I114">
            <v>335.69999999999965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5086.871566554184</v>
          </cell>
        </row>
        <row r="257">
          <cell r="I257">
            <v>6165.6637714285944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19.921939726027297</v>
          </cell>
        </row>
        <row r="10993">
          <cell r="I10993">
            <v>33.616767123287644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540.62466577370355</v>
          </cell>
        </row>
        <row r="11103">
          <cell r="I11103">
            <v>0</v>
          </cell>
        </row>
        <row r="11114">
          <cell r="I11114">
            <v>205.03346849315074</v>
          </cell>
        </row>
        <row r="11125">
          <cell r="I11125">
            <v>13.139726027397261</v>
          </cell>
        </row>
        <row r="11136">
          <cell r="I11136">
            <v>836.47761696443592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120.04591741841853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326.700.115,01</v>
          </cell>
          <cell r="N2" t="str">
            <v>71.928.700,54</v>
          </cell>
        </row>
      </sheetData>
      <sheetData sheetId="7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6165.6637714285571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25.597939726027327</v>
          </cell>
        </row>
        <row r="10993">
          <cell r="I10993">
            <v>33.616767123287666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593.67277028684725</v>
          </cell>
        </row>
        <row r="11103">
          <cell r="I11103">
            <v>0</v>
          </cell>
        </row>
        <row r="11114">
          <cell r="I11114">
            <v>205.03346849315088</v>
          </cell>
        </row>
        <row r="11125">
          <cell r="I11125">
            <v>13.139726027397261</v>
          </cell>
        </row>
        <row r="11136">
          <cell r="I11136">
            <v>883.69267487949401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341.198.001,61</v>
          </cell>
          <cell r="N2" t="str">
            <v>71.928.700,54</v>
          </cell>
        </row>
      </sheetData>
      <sheetData sheetId="7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1233.8600000000001</v>
          </cell>
        </row>
        <row r="59">
          <cell r="I59">
            <v>1486.0463320463321</v>
          </cell>
        </row>
        <row r="81">
          <cell r="I81">
            <v>4315.1426798102975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6165.6637714285853</v>
          </cell>
        </row>
        <row r="10960">
          <cell r="I10960">
            <v>204.43499658337959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624.24801881762153</v>
          </cell>
        </row>
        <row r="11103">
          <cell r="I11103">
            <v>0</v>
          </cell>
        </row>
        <row r="11114">
          <cell r="I11114">
            <v>219.77659682515406</v>
          </cell>
        </row>
        <row r="11125">
          <cell r="I11125">
            <v>13.139726027397261</v>
          </cell>
        </row>
        <row r="11136">
          <cell r="I11136">
            <v>887.27177624019612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349.021.236,82</v>
          </cell>
          <cell r="N2" t="str">
            <v>71.928.700,54</v>
          </cell>
        </row>
      </sheetData>
      <sheetData sheetId="7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1425.6940154440153</v>
          </cell>
        </row>
        <row r="59">
          <cell r="I59">
            <v>1710.95</v>
          </cell>
        </row>
        <row r="81">
          <cell r="I81">
            <v>2314</v>
          </cell>
        </row>
        <row r="114">
          <cell r="I114">
            <v>308.22586872586874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3252.4362934362953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5176.8000000000075</v>
          </cell>
        </row>
        <row r="224">
          <cell r="I224">
            <v>6327.2000000000007</v>
          </cell>
        </row>
        <row r="257">
          <cell r="I257">
            <v>6165.6637714285816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37.321092117621859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82.324724373819393</v>
          </cell>
        </row>
        <row r="11092">
          <cell r="I11092">
            <v>627.27154117369014</v>
          </cell>
        </row>
        <row r="11103">
          <cell r="I11103">
            <v>0</v>
          </cell>
        </row>
        <row r="11114">
          <cell r="I11114">
            <v>100.59346849315067</v>
          </cell>
        </row>
        <row r="11125">
          <cell r="I11125">
            <v>13.139726027397261</v>
          </cell>
        </row>
        <row r="11136">
          <cell r="I11136">
            <v>805.37304841093464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104.76028767123273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37.700987945205597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343.462.380,27</v>
          </cell>
          <cell r="N2" t="str">
            <v>71.928.700,54</v>
          </cell>
        </row>
      </sheetData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656.79456193353474</v>
          </cell>
        </row>
        <row r="59">
          <cell r="I59">
            <v>848.74904471299033</v>
          </cell>
        </row>
        <row r="81">
          <cell r="I81">
            <v>2996.1941087613295</v>
          </cell>
        </row>
        <row r="92">
          <cell r="I92">
            <v>3450.9901812688822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4000</v>
          </cell>
        </row>
        <row r="224">
          <cell r="I224">
            <v>4000.0000000000005</v>
          </cell>
        </row>
        <row r="257">
          <cell r="I257">
            <v>14299.710171428571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131.29935609152713</v>
          </cell>
        </row>
        <row r="11081">
          <cell r="I11081">
            <v>67.010799999999989</v>
          </cell>
        </row>
        <row r="11092">
          <cell r="I11092">
            <v>376.7477934863266</v>
          </cell>
        </row>
        <row r="11103">
          <cell r="I11103">
            <v>0</v>
          </cell>
        </row>
        <row r="11114">
          <cell r="I11114">
            <v>195.40983561643839</v>
          </cell>
        </row>
        <row r="11125">
          <cell r="I11125">
            <v>13.139726027397261</v>
          </cell>
        </row>
        <row r="11136">
          <cell r="I11136">
            <v>680.22012257121719</v>
          </cell>
        </row>
        <row r="11147">
          <cell r="I11147">
            <v>104.44384000000001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156.01438356164391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31.444563304830481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1021.9594043920222</v>
          </cell>
        </row>
        <row r="59">
          <cell r="I59">
            <v>1304.9893822393822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6165.6637714286035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19.921939726027333</v>
          </cell>
        </row>
        <row r="10993">
          <cell r="I10993">
            <v>33.616767123287687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401.25718826141838</v>
          </cell>
        </row>
        <row r="11103">
          <cell r="I11103">
            <v>0</v>
          </cell>
        </row>
        <row r="11114">
          <cell r="I11114">
            <v>205.03346849315062</v>
          </cell>
        </row>
        <row r="11125">
          <cell r="I11125">
            <v>13.139726027397261</v>
          </cell>
        </row>
        <row r="11136">
          <cell r="I11136">
            <v>925.76264199192622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146.77918356164383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328.843.669,94</v>
          </cell>
          <cell r="N2" t="str">
            <v>71.928.700,54</v>
          </cell>
        </row>
      </sheetData>
      <sheetData sheetId="7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279</v>
          </cell>
        </row>
        <row r="59">
          <cell r="I59">
            <v>329.29359716859716</v>
          </cell>
        </row>
        <row r="81">
          <cell r="I81">
            <v>4202.9840733590736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6165.6637714285662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576.62635545132537</v>
          </cell>
        </row>
        <row r="11103">
          <cell r="I11103">
            <v>0</v>
          </cell>
        </row>
        <row r="11114">
          <cell r="I11114">
            <v>205.03346849315076</v>
          </cell>
        </row>
        <row r="11125">
          <cell r="I11125">
            <v>13.139726027397261</v>
          </cell>
        </row>
        <row r="11136">
          <cell r="I11136">
            <v>956.85957265784305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141.10318356164385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331.277.678,08</v>
          </cell>
          <cell r="N2" t="str">
            <v>71.928.700,54</v>
          </cell>
        </row>
      </sheetData>
      <sheetData sheetId="7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2839.9227799227801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4817.9241727317913</v>
          </cell>
        </row>
        <row r="224">
          <cell r="I224">
            <v>5130.8108108108108</v>
          </cell>
        </row>
        <row r="257">
          <cell r="I257">
            <v>6165.6637714285807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25.597939726027327</v>
          </cell>
        </row>
        <row r="10993">
          <cell r="I10993">
            <v>33.616767123287687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553.97215119639816</v>
          </cell>
        </row>
        <row r="11103">
          <cell r="I11103">
            <v>0</v>
          </cell>
        </row>
        <row r="11114">
          <cell r="I11114">
            <v>205.03346849315062</v>
          </cell>
        </row>
        <row r="11125">
          <cell r="I11125">
            <v>13.139726027397261</v>
          </cell>
        </row>
        <row r="11136">
          <cell r="I11136">
            <v>901.75762114189035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141.10318356164379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47.021.289,99</v>
          </cell>
          <cell r="K2" t="str">
            <v>329.247.499,04</v>
          </cell>
          <cell r="N2" t="str">
            <v>71.928.700,54</v>
          </cell>
        </row>
      </sheetData>
      <sheetData sheetId="7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2782.0825613293018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14299.710171428569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49.398885337392215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103.40597281625388</v>
          </cell>
        </row>
        <row r="11081">
          <cell r="I11081">
            <v>22.010799999999939</v>
          </cell>
        </row>
        <row r="11092">
          <cell r="I11092">
            <v>443.82554239960882</v>
          </cell>
        </row>
        <row r="11103">
          <cell r="I11103">
            <v>0</v>
          </cell>
        </row>
        <row r="11114">
          <cell r="I11114">
            <v>182.93244437486811</v>
          </cell>
        </row>
        <row r="11125">
          <cell r="I11125">
            <v>13.139726027397261</v>
          </cell>
        </row>
        <row r="11136">
          <cell r="I11136">
            <v>655.78379569555432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89.298347862850122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340.612.832,91</v>
          </cell>
          <cell r="N2" t="str">
            <v>35.475.755,55</v>
          </cell>
        </row>
      </sheetData>
      <sheetData sheetId="7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704.01888217522651</v>
          </cell>
        </row>
        <row r="81">
          <cell r="I81">
            <v>2655.0970543806648</v>
          </cell>
        </row>
        <row r="114">
          <cell r="I114">
            <v>206.96978851963746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3247.4714879154062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4225.0802954682767</v>
          </cell>
        </row>
        <row r="224">
          <cell r="I224">
            <v>4497.7190332326281</v>
          </cell>
        </row>
        <row r="257">
          <cell r="I257">
            <v>14299.710171428569</v>
          </cell>
        </row>
        <row r="10960">
          <cell r="I10960">
            <v>88.766358904109623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36.532232876712349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51.881635210553007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133.99319634703187</v>
          </cell>
        </row>
        <row r="11081">
          <cell r="I11081">
            <v>67.010800000000003</v>
          </cell>
        </row>
        <row r="11092">
          <cell r="I11092">
            <v>375.67668870242272</v>
          </cell>
        </row>
        <row r="11103">
          <cell r="I11103">
            <v>0</v>
          </cell>
        </row>
        <row r="11114">
          <cell r="I11114">
            <v>190.72436986301366</v>
          </cell>
        </row>
        <row r="11125">
          <cell r="I11125">
            <v>13.139726027397261</v>
          </cell>
        </row>
        <row r="11136">
          <cell r="I11136">
            <v>558.4847711259979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114.48217964408377</v>
          </cell>
        </row>
        <row r="11213">
          <cell r="I11213">
            <v>3.4722410958904204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323.068.495,17</v>
          </cell>
          <cell r="N2" t="str">
            <v>35.475.755,55</v>
          </cell>
        </row>
      </sheetData>
      <sheetData sheetId="7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2314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5175.1699395770393</v>
          </cell>
        </row>
        <row r="224">
          <cell r="I224">
            <v>6301.8038604229441</v>
          </cell>
        </row>
        <row r="257">
          <cell r="I257">
            <v>14299.710171428562</v>
          </cell>
        </row>
        <row r="10960">
          <cell r="I10960">
            <v>134.0921865883918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35.660986301369853</v>
          </cell>
        </row>
        <row r="11004">
          <cell r="I11004">
            <v>0</v>
          </cell>
        </row>
        <row r="11015">
          <cell r="I11015">
            <v>139.95142465753389</v>
          </cell>
        </row>
        <row r="11026">
          <cell r="I11026">
            <v>49.398885337392208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130.02653691493245</v>
          </cell>
        </row>
        <row r="11092">
          <cell r="I11092">
            <v>336.01743701583121</v>
          </cell>
        </row>
        <row r="11103">
          <cell r="I11103">
            <v>0</v>
          </cell>
        </row>
        <row r="11114">
          <cell r="I11114">
            <v>56.486095890410866</v>
          </cell>
        </row>
        <row r="11125">
          <cell r="I11125">
            <v>13.139726027397261</v>
          </cell>
        </row>
        <row r="11136">
          <cell r="I11136">
            <v>723.86418303556354</v>
          </cell>
        </row>
        <row r="11147">
          <cell r="I11147">
            <v>138.17315999999994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309.955.281,03</v>
          </cell>
          <cell r="N2" t="str">
            <v>35.475.755,55</v>
          </cell>
        </row>
      </sheetData>
      <sheetData sheetId="7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279.00000000000023</v>
          </cell>
        </row>
        <row r="81">
          <cell r="I81">
            <v>3735.2377265861028</v>
          </cell>
        </row>
        <row r="114">
          <cell r="I114">
            <v>187</v>
          </cell>
        </row>
        <row r="125">
          <cell r="I125">
            <v>187.00000000000006</v>
          </cell>
        </row>
        <row r="147">
          <cell r="I147">
            <v>2745</v>
          </cell>
        </row>
        <row r="158">
          <cell r="I158">
            <v>2745.0000000000005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14299.710171428562</v>
          </cell>
        </row>
        <row r="10960">
          <cell r="I10960">
            <v>64.624734246652736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36.216767123287674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144.58780365296798</v>
          </cell>
        </row>
        <row r="11081">
          <cell r="I11081">
            <v>65.308199999999999</v>
          </cell>
        </row>
        <row r="11092">
          <cell r="I11092">
            <v>357.46961496948978</v>
          </cell>
        </row>
        <row r="11103">
          <cell r="I11103">
            <v>0</v>
          </cell>
        </row>
        <row r="11114">
          <cell r="I11114">
            <v>184.36816438356169</v>
          </cell>
        </row>
        <row r="11125">
          <cell r="I11125">
            <v>8.4793952300834246</v>
          </cell>
        </row>
        <row r="11136">
          <cell r="I11136">
            <v>762.92754246458787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146.74661643835626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318.116.348,55</v>
          </cell>
          <cell r="N2" t="str">
            <v>35.475.755,55</v>
          </cell>
        </row>
      </sheetData>
      <sheetData sheetId="7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4276.510574018127</v>
          </cell>
        </row>
        <row r="224">
          <cell r="I224">
            <v>4552.8608845921408</v>
          </cell>
        </row>
        <row r="257">
          <cell r="I257">
            <v>14299.710171428569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36.446767123287671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51.881635210552986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149.38854164166415</v>
          </cell>
        </row>
        <row r="11081">
          <cell r="I11081">
            <v>0</v>
          </cell>
        </row>
        <row r="11092">
          <cell r="I11092">
            <v>459.8621966307237</v>
          </cell>
        </row>
        <row r="11103">
          <cell r="I11103">
            <v>0</v>
          </cell>
        </row>
        <row r="11114">
          <cell r="I11114">
            <v>182.72163013698642</v>
          </cell>
        </row>
        <row r="11125">
          <cell r="I11125">
            <v>13.139726027397261</v>
          </cell>
        </row>
        <row r="11136">
          <cell r="I11136">
            <v>588.7919527952522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53.814383561643979</v>
          </cell>
        </row>
        <row r="11213">
          <cell r="I11213">
            <v>8.9981858188180759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339.102.521,24</v>
          </cell>
          <cell r="N2" t="str">
            <v>35.475.755,55</v>
          </cell>
        </row>
      </sheetData>
      <sheetData sheetId="7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18.081570996978851</v>
          </cell>
        </row>
        <row r="26">
          <cell r="I26">
            <v>90.407854984894257</v>
          </cell>
        </row>
        <row r="48">
          <cell r="I48">
            <v>1509.0500000000002</v>
          </cell>
        </row>
        <row r="59">
          <cell r="I59">
            <v>1710.95</v>
          </cell>
        </row>
        <row r="81">
          <cell r="I81">
            <v>2314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2745</v>
          </cell>
        </row>
        <row r="158">
          <cell r="I158">
            <v>2775.9478851963745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4027.9741776435017</v>
          </cell>
        </row>
        <row r="224">
          <cell r="I224">
            <v>4276.510574018127</v>
          </cell>
        </row>
        <row r="257">
          <cell r="I257">
            <v>14299.710171428584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38.958561643835608</v>
          </cell>
        </row>
        <row r="11004">
          <cell r="I11004">
            <v>0</v>
          </cell>
        </row>
        <row r="11015">
          <cell r="I11015">
            <v>126.53688663763603</v>
          </cell>
        </row>
        <row r="11026">
          <cell r="I11026">
            <v>49.398885337392208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152.06381983731924</v>
          </cell>
        </row>
        <row r="11081">
          <cell r="I11081">
            <v>94.940176509712586</v>
          </cell>
        </row>
        <row r="11092">
          <cell r="I11092">
            <v>411.42211444328774</v>
          </cell>
        </row>
        <row r="11103">
          <cell r="I11103">
            <v>0</v>
          </cell>
        </row>
        <row r="11114">
          <cell r="I11114">
            <v>205.96983561643839</v>
          </cell>
        </row>
        <row r="11125">
          <cell r="I11125">
            <v>13.139726027397261</v>
          </cell>
        </row>
        <row r="11136">
          <cell r="I11136">
            <v>528.63047300504422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156.01438356164391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19.845439999999975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333.061.767,19</v>
          </cell>
          <cell r="N2" t="str">
            <v>35.475.755,55</v>
          </cell>
        </row>
      </sheetData>
      <sheetData sheetId="7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180.81570996978851</v>
          </cell>
        </row>
        <row r="48">
          <cell r="I48">
            <v>537.44245558912121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335.70000000000016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14299.710171428569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125.09681528200727</v>
          </cell>
        </row>
        <row r="11081">
          <cell r="I11081">
            <v>22.010799999999961</v>
          </cell>
        </row>
        <row r="11092">
          <cell r="I11092">
            <v>455.7623404716532</v>
          </cell>
        </row>
        <row r="11103">
          <cell r="I11103">
            <v>0</v>
          </cell>
        </row>
        <row r="11114">
          <cell r="I11114">
            <v>184.41920179496381</v>
          </cell>
        </row>
        <row r="11125">
          <cell r="I11125">
            <v>13.139726027397261</v>
          </cell>
        </row>
        <row r="11136">
          <cell r="I11136">
            <v>563.53935287091906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53.81438356164395</v>
          </cell>
        </row>
        <row r="11213">
          <cell r="I11213">
            <v>8.8379223747046947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338.855.372,35</v>
          </cell>
          <cell r="N2" t="str">
            <v>35.475.755,55</v>
          </cell>
        </row>
      </sheetData>
      <sheetData sheetId="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186.88197522658629</v>
          </cell>
        </row>
        <row r="26">
          <cell r="I26">
            <v>264</v>
          </cell>
        </row>
        <row r="48">
          <cell r="I48">
            <v>798.46752265861028</v>
          </cell>
        </row>
        <row r="59">
          <cell r="I59">
            <v>987.36480362537759</v>
          </cell>
        </row>
        <row r="81">
          <cell r="I81">
            <v>2314</v>
          </cell>
        </row>
        <row r="92">
          <cell r="I92">
            <v>2314</v>
          </cell>
        </row>
        <row r="114">
          <cell r="I114">
            <v>241.916918429003</v>
          </cell>
        </row>
        <row r="125">
          <cell r="I125">
            <v>261.88670694864049</v>
          </cell>
        </row>
        <row r="147">
          <cell r="I147">
            <v>2813.0853474320243</v>
          </cell>
        </row>
        <row r="158">
          <cell r="I158">
            <v>2837.843655589124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4553.0211480362541</v>
          </cell>
        </row>
        <row r="224">
          <cell r="I224">
            <v>4829.5317220543802</v>
          </cell>
        </row>
        <row r="257">
          <cell r="I257">
            <v>14299.710171428575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37.540232876712324</v>
          </cell>
        </row>
        <row r="11004">
          <cell r="I11004">
            <v>0</v>
          </cell>
        </row>
        <row r="11015">
          <cell r="I11015">
            <v>158.41386792630726</v>
          </cell>
        </row>
        <row r="11026">
          <cell r="I11026">
            <v>51.881635210552993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146.76876998634566</v>
          </cell>
        </row>
        <row r="11081">
          <cell r="I11081">
            <v>67.010800000000003</v>
          </cell>
        </row>
        <row r="11092">
          <cell r="I11092">
            <v>478.511292249956</v>
          </cell>
        </row>
        <row r="11103">
          <cell r="I11103">
            <v>0</v>
          </cell>
        </row>
        <row r="11114">
          <cell r="I11114">
            <v>172.36760273972604</v>
          </cell>
        </row>
        <row r="11125">
          <cell r="I11125">
            <v>13.139726027397261</v>
          </cell>
        </row>
        <row r="11136">
          <cell r="I11136">
            <v>618.40329524017602</v>
          </cell>
        </row>
        <row r="11147">
          <cell r="I11147">
            <v>86.17315999999991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146.74661643835634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121.56063637462267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14299.710171428565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32.162232876712331</v>
          </cell>
        </row>
        <row r="11004">
          <cell r="I11004">
            <v>0</v>
          </cell>
        </row>
        <row r="11015">
          <cell r="I11015">
            <v>140.01821917808218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105.49949267023334</v>
          </cell>
        </row>
        <row r="11081">
          <cell r="I11081">
            <v>0</v>
          </cell>
        </row>
        <row r="11092">
          <cell r="I11092">
            <v>455.1833003842637</v>
          </cell>
        </row>
        <row r="11103">
          <cell r="I11103">
            <v>0</v>
          </cell>
        </row>
        <row r="11114">
          <cell r="I11114">
            <v>184.36816438356166</v>
          </cell>
        </row>
        <row r="11125">
          <cell r="I11125">
            <v>13.139726027397261</v>
          </cell>
        </row>
        <row r="11136">
          <cell r="I11136">
            <v>652.6697797964498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89.298347862850193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357.044.878,37</v>
          </cell>
          <cell r="N2" t="str">
            <v>35.475.755,55</v>
          </cell>
        </row>
      </sheetData>
      <sheetData sheetId="7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656.79456193353474</v>
          </cell>
        </row>
        <row r="59">
          <cell r="I59">
            <v>892.91616314199393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14299.710171428573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35.030232876712311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106.08780365296803</v>
          </cell>
        </row>
        <row r="11081">
          <cell r="I11081">
            <v>67.010799999999961</v>
          </cell>
        </row>
        <row r="11092">
          <cell r="I11092">
            <v>330.46301494246478</v>
          </cell>
        </row>
        <row r="11103">
          <cell r="I11103">
            <v>0</v>
          </cell>
        </row>
        <row r="11114">
          <cell r="I11114">
            <v>205.9698356164385</v>
          </cell>
        </row>
        <row r="11125">
          <cell r="I11125">
            <v>13.139726027397261</v>
          </cell>
        </row>
        <row r="11136">
          <cell r="I11136">
            <v>673.99877466669057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156.01438356164371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365.024.443,39</v>
          </cell>
          <cell r="N2" t="str">
            <v>35.475.755,55</v>
          </cell>
        </row>
      </sheetData>
      <sheetData sheetId="7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198.89728096676737</v>
          </cell>
        </row>
        <row r="26">
          <cell r="I26">
            <v>264</v>
          </cell>
        </row>
        <row r="48">
          <cell r="I48">
            <v>798.46752265861028</v>
          </cell>
        </row>
        <row r="59">
          <cell r="I59">
            <v>987.36480362537759</v>
          </cell>
        </row>
        <row r="81">
          <cell r="I81">
            <v>2314</v>
          </cell>
        </row>
        <row r="114">
          <cell r="I114">
            <v>241.916918429003</v>
          </cell>
        </row>
        <row r="125">
          <cell r="I125">
            <v>261.88670694864049</v>
          </cell>
        </row>
        <row r="147">
          <cell r="I147">
            <v>2813.0853474320243</v>
          </cell>
        </row>
        <row r="158">
          <cell r="I158">
            <v>2837.843655589124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4601.4928422960693</v>
          </cell>
        </row>
        <row r="224">
          <cell r="I224">
            <v>4829.5317220543802</v>
          </cell>
        </row>
        <row r="257">
          <cell r="I257">
            <v>14299.710171428576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9.4145797260273181</v>
          </cell>
        </row>
        <row r="10993">
          <cell r="I10993">
            <v>32.891767123287671</v>
          </cell>
        </row>
        <row r="11004">
          <cell r="I11004">
            <v>0</v>
          </cell>
        </row>
        <row r="11015">
          <cell r="I11015">
            <v>133.99650703561818</v>
          </cell>
        </row>
        <row r="11026">
          <cell r="I11026">
            <v>51.881635210552986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158.58780365296809</v>
          </cell>
        </row>
        <row r="11081">
          <cell r="I11081">
            <v>35.916192694063859</v>
          </cell>
        </row>
        <row r="11092">
          <cell r="I11092">
            <v>497.46386349445879</v>
          </cell>
        </row>
        <row r="11103">
          <cell r="I11103">
            <v>0</v>
          </cell>
        </row>
        <row r="11114">
          <cell r="I11114">
            <v>171.60106849315054</v>
          </cell>
        </row>
        <row r="11125">
          <cell r="I11125">
            <v>13.139726027397261</v>
          </cell>
        </row>
        <row r="11136">
          <cell r="I11136">
            <v>621.78511400609455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1.7801072919994709</v>
          </cell>
        </row>
        <row r="11202">
          <cell r="I11202">
            <v>141.81370243305838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121.56063637462239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355.294.099,54</v>
          </cell>
          <cell r="N2" t="str">
            <v>35.475.755,55</v>
          </cell>
        </row>
      </sheetData>
      <sheetData sheetId="7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609.57024169184285</v>
          </cell>
        </row>
        <row r="59">
          <cell r="I59">
            <v>798.46752265861028</v>
          </cell>
        </row>
        <row r="81">
          <cell r="I81">
            <v>2783.4145099697862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2813.0853474320243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4331.8126888217521</v>
          </cell>
        </row>
        <row r="224">
          <cell r="I224">
            <v>4608.3232628398791</v>
          </cell>
        </row>
        <row r="257">
          <cell r="I257">
            <v>14299.710171428569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31.846767123287687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51.881635210553007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116.50399634703187</v>
          </cell>
        </row>
        <row r="11081">
          <cell r="I11081">
            <v>0</v>
          </cell>
        </row>
        <row r="11092">
          <cell r="I11092">
            <v>446.83915610543835</v>
          </cell>
        </row>
        <row r="11103">
          <cell r="I11103">
            <v>0</v>
          </cell>
        </row>
        <row r="11114">
          <cell r="I11114">
            <v>143.40816438356183</v>
          </cell>
        </row>
        <row r="11125">
          <cell r="I11125">
            <v>13.139726027397261</v>
          </cell>
        </row>
        <row r="11136">
          <cell r="I11136">
            <v>659.29526915069846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89.298347862849937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340.807.897,14</v>
          </cell>
          <cell r="N2" t="str">
            <v>35.475.755,55</v>
          </cell>
        </row>
      </sheetData>
      <sheetData sheetId="7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279.00000000000097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2788.3270392749246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3067.0000000000009</v>
          </cell>
        </row>
        <row r="213">
          <cell r="I213">
            <v>4411.0818060422916</v>
          </cell>
        </row>
        <row r="224">
          <cell r="I224">
            <v>4663.6253776435042</v>
          </cell>
        </row>
        <row r="257">
          <cell r="I257">
            <v>14299.710171428575</v>
          </cell>
        </row>
        <row r="10960">
          <cell r="I10960">
            <v>214.26084236698779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31.846767123287677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51.881635210553007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94.493196347031869</v>
          </cell>
        </row>
        <row r="11081">
          <cell r="I11081">
            <v>108.49575178293966</v>
          </cell>
        </row>
        <row r="11092">
          <cell r="I11092">
            <v>416.34849208252285</v>
          </cell>
        </row>
        <row r="11103">
          <cell r="I11103">
            <v>0</v>
          </cell>
        </row>
        <row r="11114">
          <cell r="I11114">
            <v>127.28983561643869</v>
          </cell>
        </row>
        <row r="11125">
          <cell r="I11125">
            <v>13.139726027397261</v>
          </cell>
        </row>
        <row r="11136">
          <cell r="I11136">
            <v>677.50384507367221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146.74661643835634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11.065292394329951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342.730.759,92</v>
          </cell>
          <cell r="N2" t="str">
            <v>35.475.755,55</v>
          </cell>
        </row>
      </sheetData>
      <sheetData sheetId="7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14299.710171428569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36.446767123287664</v>
          </cell>
        </row>
        <row r="11004">
          <cell r="I11004">
            <v>0</v>
          </cell>
        </row>
        <row r="11015">
          <cell r="I11015">
            <v>160.55134772337925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105.49949267023338</v>
          </cell>
        </row>
        <row r="11081">
          <cell r="I11081">
            <v>0</v>
          </cell>
        </row>
        <row r="11092">
          <cell r="I11092">
            <v>475.88438638613906</v>
          </cell>
        </row>
        <row r="11103">
          <cell r="I11103">
            <v>0</v>
          </cell>
        </row>
        <row r="11114">
          <cell r="I11114">
            <v>182.93244437486825</v>
          </cell>
        </row>
        <row r="11125">
          <cell r="I11125">
            <v>13.139726027397261</v>
          </cell>
        </row>
        <row r="11136">
          <cell r="I11136">
            <v>615.76953046758797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89.298347862850022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89.447.971,23</v>
          </cell>
          <cell r="K2" t="str">
            <v>341.789.350,20</v>
          </cell>
          <cell r="N2" t="str">
            <v>35.475.755,55</v>
          </cell>
        </row>
      </sheetData>
      <sheetData sheetId="7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3653.7042880268145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6165.6514285714447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23.068813698630152</v>
          </cell>
        </row>
        <row r="11004">
          <cell r="I11004">
            <v>0</v>
          </cell>
        </row>
        <row r="11015">
          <cell r="I11015">
            <v>160.54103835616451</v>
          </cell>
        </row>
        <row r="11026">
          <cell r="I11026">
            <v>57.894334469812236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132.21601589041126</v>
          </cell>
        </row>
        <row r="11092">
          <cell r="I11092">
            <v>489.37267702071756</v>
          </cell>
        </row>
        <row r="11103">
          <cell r="I11103">
            <v>21.698630136986303</v>
          </cell>
        </row>
        <row r="11114">
          <cell r="I11114">
            <v>188.8334684931508</v>
          </cell>
        </row>
        <row r="11125">
          <cell r="I11125">
            <v>13.139726027397261</v>
          </cell>
        </row>
        <row r="11136">
          <cell r="I11136">
            <v>847.26102752993961</v>
          </cell>
        </row>
        <row r="11147">
          <cell r="I11147">
            <v>139.83561643835617</v>
          </cell>
        </row>
        <row r="11158">
          <cell r="I11158">
            <v>15.31646356164385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326.651.341,75</v>
          </cell>
          <cell r="N2" t="str">
            <v>71.948.395,79</v>
          </cell>
        </row>
      </sheetData>
      <sheetData sheetId="7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231.08108108108104</v>
          </cell>
        </row>
        <row r="26">
          <cell r="I26">
            <v>335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114">
          <cell r="I114">
            <v>250.8030888030888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4761.5102725828001</v>
          </cell>
        </row>
        <row r="224">
          <cell r="I224">
            <v>5060.135135135135</v>
          </cell>
        </row>
        <row r="257">
          <cell r="I257">
            <v>6165.6514285714265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26.304553957793381</v>
          </cell>
        </row>
        <row r="11004">
          <cell r="I11004">
            <v>0</v>
          </cell>
        </row>
        <row r="11015">
          <cell r="I11015">
            <v>160.54103835616445</v>
          </cell>
        </row>
        <row r="11026">
          <cell r="I11026">
            <v>59.285334469812263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83.982694611872191</v>
          </cell>
        </row>
        <row r="11092">
          <cell r="I11092">
            <v>420.30214136335297</v>
          </cell>
        </row>
        <row r="11103">
          <cell r="I11103">
            <v>21.698630136986303</v>
          </cell>
        </row>
        <row r="11114">
          <cell r="I11114">
            <v>193.93346849315091</v>
          </cell>
        </row>
        <row r="11125">
          <cell r="I11125">
            <v>13.139726027397261</v>
          </cell>
        </row>
        <row r="11136">
          <cell r="I11136">
            <v>848.77009401363171</v>
          </cell>
        </row>
        <row r="11147">
          <cell r="I11147">
            <v>139.83561643835617</v>
          </cell>
        </row>
        <row r="11158">
          <cell r="I11158">
            <v>15.316463561643825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312.414.744,15</v>
          </cell>
          <cell r="N2" t="str">
            <v>71.948.395,79</v>
          </cell>
        </row>
      </sheetData>
      <sheetData sheetId="7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277.29729729729723</v>
          </cell>
        </row>
        <row r="48">
          <cell r="I48">
            <v>761.81853281853284</v>
          </cell>
        </row>
        <row r="59">
          <cell r="I59">
            <v>1047.3447921235595</v>
          </cell>
        </row>
        <row r="81">
          <cell r="I81">
            <v>3185.8388030888032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5176.7999999999893</v>
          </cell>
        </row>
        <row r="224">
          <cell r="I224">
            <v>6327.2000000000007</v>
          </cell>
        </row>
        <row r="257">
          <cell r="I257">
            <v>6165.6514285714393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32.37456712328769</v>
          </cell>
        </row>
        <row r="11004">
          <cell r="I11004">
            <v>0</v>
          </cell>
        </row>
        <row r="11015">
          <cell r="I11015">
            <v>113.95980436690422</v>
          </cell>
        </row>
        <row r="11026">
          <cell r="I11026">
            <v>45.807186078132979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422.91023069395493</v>
          </cell>
        </row>
        <row r="11070">
          <cell r="I11070">
            <v>155.32807634703181</v>
          </cell>
        </row>
        <row r="11081">
          <cell r="I11081">
            <v>48.006479999999954</v>
          </cell>
        </row>
        <row r="11092">
          <cell r="I11092">
            <v>387.26186052865063</v>
          </cell>
        </row>
        <row r="11103">
          <cell r="I11103">
            <v>8.8891105962328538</v>
          </cell>
        </row>
        <row r="11114">
          <cell r="I11114">
            <v>133.71346849315063</v>
          </cell>
        </row>
        <row r="11125">
          <cell r="I11125">
            <v>13.139726027397261</v>
          </cell>
        </row>
        <row r="11136">
          <cell r="I11136">
            <v>855.51918689656861</v>
          </cell>
        </row>
        <row r="11147">
          <cell r="I11147">
            <v>138.55343999999997</v>
          </cell>
        </row>
        <row r="11158">
          <cell r="I11158">
            <v>20.813040000000008</v>
          </cell>
        </row>
        <row r="11169">
          <cell r="I11169">
            <v>63.287671232876711</v>
          </cell>
        </row>
        <row r="11180">
          <cell r="I11180">
            <v>88.819430136986227</v>
          </cell>
        </row>
        <row r="11191">
          <cell r="I11191">
            <v>10.307452054794521</v>
          </cell>
        </row>
        <row r="11202">
          <cell r="I11202">
            <v>89.666216438356301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137.88898794520543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300.030.251,95</v>
          </cell>
          <cell r="N2" t="str">
            <v>71.948.395,79</v>
          </cell>
        </row>
      </sheetData>
      <sheetData sheetId="7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46.21621621621621</v>
          </cell>
        </row>
        <row r="26">
          <cell r="I26">
            <v>138.64864864864862</v>
          </cell>
        </row>
        <row r="48">
          <cell r="I48">
            <v>399.70463320463318</v>
          </cell>
        </row>
        <row r="59">
          <cell r="I59">
            <v>701.46621621621625</v>
          </cell>
        </row>
        <row r="81">
          <cell r="I81">
            <v>5044.4999999999918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2760.8204633204632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3066.9999999999982</v>
          </cell>
        </row>
        <row r="213">
          <cell r="I213">
            <v>4141.3513513513517</v>
          </cell>
        </row>
        <row r="224">
          <cell r="I224">
            <v>4468.1248500386173</v>
          </cell>
        </row>
        <row r="257">
          <cell r="I257">
            <v>6165.6514285714129</v>
          </cell>
        </row>
        <row r="10960">
          <cell r="I10960">
            <v>0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26.908449092928528</v>
          </cell>
        </row>
        <row r="11004">
          <cell r="I11004">
            <v>0</v>
          </cell>
        </row>
        <row r="11015">
          <cell r="I11015">
            <v>159.32288254586504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119.16045589041082</v>
          </cell>
        </row>
        <row r="11092">
          <cell r="I11092">
            <v>504.25157785955429</v>
          </cell>
        </row>
        <row r="11103">
          <cell r="I11103">
            <v>21.698630136986303</v>
          </cell>
        </row>
        <row r="11114">
          <cell r="I11114">
            <v>180.97309068287981</v>
          </cell>
        </row>
        <row r="11125">
          <cell r="I11125">
            <v>13.139726027397261</v>
          </cell>
        </row>
        <row r="11136">
          <cell r="I11136">
            <v>812.19063400081541</v>
          </cell>
        </row>
        <row r="11147">
          <cell r="I11147">
            <v>136.01403999999999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302.550.593,62</v>
          </cell>
          <cell r="N2" t="str">
            <v>71.948.395,79</v>
          </cell>
        </row>
      </sheetData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92">
          <cell r="I92">
            <v>3337.2911631419938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4331.8126888217521</v>
          </cell>
        </row>
        <row r="224">
          <cell r="I224">
            <v>4555.3815975830812</v>
          </cell>
        </row>
        <row r="257">
          <cell r="I257">
            <v>14299.710171428573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34.209767123287676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51.881635210552986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94.493196347031869</v>
          </cell>
        </row>
        <row r="11081">
          <cell r="I11081">
            <v>64.589753009106872</v>
          </cell>
        </row>
        <row r="11092">
          <cell r="I11092">
            <v>459.24918470909739</v>
          </cell>
        </row>
        <row r="11103">
          <cell r="I11103">
            <v>0</v>
          </cell>
        </row>
        <row r="11114">
          <cell r="I11114">
            <v>188.15741390304103</v>
          </cell>
        </row>
        <row r="11125">
          <cell r="I11125">
            <v>13.139726027397261</v>
          </cell>
        </row>
        <row r="11136">
          <cell r="I11136">
            <v>554.12869938952838</v>
          </cell>
        </row>
        <row r="11147">
          <cell r="I11147">
            <v>84.096928787850189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146.74661643835634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954.36307181059794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6165.6514285714038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57.894334469812279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81.312519999999921</v>
          </cell>
        </row>
        <row r="11092">
          <cell r="I11092">
            <v>514.6212307023776</v>
          </cell>
        </row>
        <row r="11103">
          <cell r="I11103">
            <v>21.698630136986303</v>
          </cell>
        </row>
        <row r="11114">
          <cell r="I11114">
            <v>193.9334684931506</v>
          </cell>
        </row>
        <row r="11125">
          <cell r="I11125">
            <v>13.139726027397261</v>
          </cell>
        </row>
        <row r="11136">
          <cell r="I11136">
            <v>859.52372864280198</v>
          </cell>
        </row>
        <row r="11147">
          <cell r="I11147">
            <v>139.83561643835617</v>
          </cell>
        </row>
        <row r="11158">
          <cell r="I11158">
            <v>15.316463561643829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0.70160000000002043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324.981.277,67</v>
          </cell>
          <cell r="N2" t="str">
            <v>71.948.395,79</v>
          </cell>
        </row>
      </sheetData>
      <sheetData sheetId="7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323.51351351351349</v>
          </cell>
        </row>
        <row r="48">
          <cell r="I48">
            <v>1448.9999999999993</v>
          </cell>
        </row>
        <row r="59">
          <cell r="I59">
            <v>1771.0000000000002</v>
          </cell>
        </row>
        <row r="81">
          <cell r="I81">
            <v>3395.9591743629344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6165.6514285714302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21.109728767123265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124.31251999999995</v>
          </cell>
        </row>
        <row r="11092">
          <cell r="I11092">
            <v>609.59990675628615</v>
          </cell>
        </row>
        <row r="11103">
          <cell r="I11103">
            <v>8.8891105962328609</v>
          </cell>
        </row>
        <row r="11114">
          <cell r="I11114">
            <v>160.81346849315065</v>
          </cell>
        </row>
        <row r="11125">
          <cell r="I11125">
            <v>13.139726027397261</v>
          </cell>
        </row>
        <row r="11136">
          <cell r="I11136">
            <v>741.36168593413424</v>
          </cell>
        </row>
        <row r="11147">
          <cell r="I11147">
            <v>139.83561643835617</v>
          </cell>
        </row>
        <row r="11158">
          <cell r="I11158">
            <v>17.178117118489311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130.32318356164399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137.91095999999942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319.032.589,60</v>
          </cell>
          <cell r="N2" t="str">
            <v>71.948.395,79</v>
          </cell>
        </row>
      </sheetData>
      <sheetData sheetId="7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942.87548262548262</v>
          </cell>
        </row>
        <row r="59">
          <cell r="I59">
            <v>1219.1140370615615</v>
          </cell>
        </row>
        <row r="81">
          <cell r="I81">
            <v>3621.7582046332045</v>
          </cell>
        </row>
        <row r="114">
          <cell r="I114">
            <v>335.69999999999987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2863.6534749034749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6165.6514285714238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31.597935711531338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81.312520000000063</v>
          </cell>
        </row>
        <row r="11092">
          <cell r="I11092">
            <v>508.28761996670863</v>
          </cell>
        </row>
        <row r="11103">
          <cell r="I11103">
            <v>21.698630136986303</v>
          </cell>
        </row>
        <row r="11114">
          <cell r="I11114">
            <v>193.93346849315085</v>
          </cell>
        </row>
        <row r="11125">
          <cell r="I11125">
            <v>13.139726027397261</v>
          </cell>
        </row>
        <row r="11136">
          <cell r="I11136">
            <v>879.03303525194588</v>
          </cell>
        </row>
        <row r="11147">
          <cell r="I11147">
            <v>139.83561643835617</v>
          </cell>
        </row>
        <row r="11158">
          <cell r="I11158">
            <v>15.316463561643836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0.70160000000006306</v>
          </cell>
        </row>
        <row r="11202">
          <cell r="I11202">
            <v>130.32318356164382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140.15095999999983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325.078.311,80</v>
          </cell>
          <cell r="N2" t="str">
            <v>71.948.395,79</v>
          </cell>
        </row>
      </sheetData>
      <sheetData sheetId="7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277.29729729729723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6165.6514285714102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36.689432876712331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96.006479999999954</v>
          </cell>
        </row>
        <row r="11092">
          <cell r="I11092">
            <v>583.41507874272554</v>
          </cell>
        </row>
        <row r="11103">
          <cell r="I11103">
            <v>21.698630136986303</v>
          </cell>
        </row>
        <row r="11114">
          <cell r="I11114">
            <v>193.9334684931508</v>
          </cell>
        </row>
        <row r="11125">
          <cell r="I11125">
            <v>13.139726027397261</v>
          </cell>
        </row>
        <row r="11136">
          <cell r="I11136">
            <v>901.88535312468105</v>
          </cell>
        </row>
        <row r="11147">
          <cell r="I11147">
            <v>139.83561643835617</v>
          </cell>
        </row>
        <row r="11158">
          <cell r="I11158">
            <v>15.316463561643861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0.70160000000001332</v>
          </cell>
        </row>
        <row r="11202">
          <cell r="I11202">
            <v>130.32318356164376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339.569.195,68</v>
          </cell>
          <cell r="N2" t="str">
            <v>71.948.395,79</v>
          </cell>
        </row>
      </sheetData>
      <sheetData sheetId="7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1184.284749034749</v>
          </cell>
        </row>
        <row r="59">
          <cell r="I59">
            <v>1486.0463320463321</v>
          </cell>
        </row>
        <row r="81">
          <cell r="I81">
            <v>4304.2239147964383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6165.6514285714247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592.76983371091671</v>
          </cell>
        </row>
        <row r="11103">
          <cell r="I11103">
            <v>21.698630136986303</v>
          </cell>
        </row>
        <row r="11114">
          <cell r="I11114">
            <v>225.86980328767282</v>
          </cell>
        </row>
        <row r="11125">
          <cell r="I11125">
            <v>13.139726027397261</v>
          </cell>
        </row>
        <row r="11136">
          <cell r="I11136">
            <v>814.8537503718735</v>
          </cell>
        </row>
        <row r="11147">
          <cell r="I11147">
            <v>136.01403999999999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347.376.845,34</v>
          </cell>
          <cell r="N2" t="str">
            <v>71.948.395,79</v>
          </cell>
        </row>
      </sheetData>
      <sheetData sheetId="7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1419.8137153112414</v>
          </cell>
        </row>
        <row r="59">
          <cell r="I59">
            <v>1771.0000000000002</v>
          </cell>
        </row>
        <row r="81">
          <cell r="I81">
            <v>2314</v>
          </cell>
        </row>
        <row r="114">
          <cell r="I114">
            <v>301.84555984555982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3252.4362934362994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5176.7999999999911</v>
          </cell>
        </row>
        <row r="224">
          <cell r="I224">
            <v>6327.2000000000007</v>
          </cell>
        </row>
        <row r="257">
          <cell r="I257">
            <v>6165.6514285714311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93.163334246575133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107.50493712940388</v>
          </cell>
        </row>
        <row r="11092">
          <cell r="I11092">
            <v>549.40766577104125</v>
          </cell>
        </row>
        <row r="11103">
          <cell r="I11103">
            <v>21.698630136986303</v>
          </cell>
        </row>
        <row r="11114">
          <cell r="I11114">
            <v>152.02536986301371</v>
          </cell>
        </row>
        <row r="11125">
          <cell r="I11125">
            <v>13.139726027397261</v>
          </cell>
        </row>
        <row r="11136">
          <cell r="I11136">
            <v>833.35695019236562</v>
          </cell>
        </row>
        <row r="11147">
          <cell r="I11147">
            <v>138.55344000000002</v>
          </cell>
        </row>
        <row r="11158">
          <cell r="I11158">
            <v>20.813040000000008</v>
          </cell>
        </row>
        <row r="11169">
          <cell r="I11169">
            <v>63.287671232876711</v>
          </cell>
        </row>
        <row r="11180">
          <cell r="I11180">
            <v>74.49622049720972</v>
          </cell>
        </row>
        <row r="11191">
          <cell r="I11191">
            <v>0.85460000000001823</v>
          </cell>
        </row>
        <row r="11202">
          <cell r="I11202">
            <v>89.666216438356187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341.745.371,09</v>
          </cell>
          <cell r="N2" t="str">
            <v>71.948.395,79</v>
          </cell>
        </row>
      </sheetData>
      <sheetData sheetId="7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1063.5801158301158</v>
          </cell>
        </row>
        <row r="59">
          <cell r="I59">
            <v>1304.9893822393822</v>
          </cell>
        </row>
        <row r="81">
          <cell r="I81">
            <v>3806.9499443974705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6165.6514285714129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141.39619105601096</v>
          </cell>
        </row>
        <row r="11092">
          <cell r="I11092">
            <v>483.65236022189856</v>
          </cell>
        </row>
        <row r="11103">
          <cell r="I11103">
            <v>21.698630136986303</v>
          </cell>
        </row>
        <row r="11114">
          <cell r="I11114">
            <v>211.63346849315087</v>
          </cell>
        </row>
        <row r="11125">
          <cell r="I11125">
            <v>13.139726027397261</v>
          </cell>
        </row>
        <row r="11136">
          <cell r="I11136">
            <v>845.97266527680711</v>
          </cell>
        </row>
        <row r="11147">
          <cell r="I11147">
            <v>139.83561643835617</v>
          </cell>
        </row>
        <row r="11158">
          <cell r="I11158">
            <v>15.316463561643797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128.84621643835607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327.213.824,30</v>
          </cell>
          <cell r="N2" t="str">
            <v>71.948.395,79</v>
          </cell>
        </row>
      </sheetData>
      <sheetData sheetId="7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279</v>
          </cell>
        </row>
        <row r="59">
          <cell r="I59">
            <v>308.09135366387994</v>
          </cell>
        </row>
        <row r="81">
          <cell r="I81">
            <v>4202.9840733590736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6165.6514285714529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566.7979431905444</v>
          </cell>
        </row>
        <row r="11103">
          <cell r="I11103">
            <v>21.698630136986303</v>
          </cell>
        </row>
        <row r="11114">
          <cell r="I11114">
            <v>202.18527780821927</v>
          </cell>
        </row>
        <row r="11125">
          <cell r="I11125">
            <v>13.139726027397261</v>
          </cell>
        </row>
        <row r="11136">
          <cell r="I11136">
            <v>960.57181624019756</v>
          </cell>
        </row>
        <row r="11147">
          <cell r="I11147">
            <v>139.83561643835617</v>
          </cell>
        </row>
        <row r="11158">
          <cell r="I11158">
            <v>15.316463561643918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130.32318356164379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329.604.019,80</v>
          </cell>
          <cell r="N2" t="str">
            <v>71.948.395,79</v>
          </cell>
        </row>
      </sheetData>
      <sheetData sheetId="7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4836.3403884129129</v>
          </cell>
        </row>
        <row r="224">
          <cell r="I224">
            <v>5130.8108108108108</v>
          </cell>
        </row>
        <row r="257">
          <cell r="I257">
            <v>6165.6514285714002</v>
          </cell>
        </row>
        <row r="10960">
          <cell r="I10960">
            <v>202.98798904109591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33.630932750832017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121.66416649298418</v>
          </cell>
        </row>
        <row r="11092">
          <cell r="I11092">
            <v>498.77172441812706</v>
          </cell>
        </row>
        <row r="11103">
          <cell r="I11103">
            <v>21.698630136986303</v>
          </cell>
        </row>
        <row r="11114">
          <cell r="I11114">
            <v>193.9334684931508</v>
          </cell>
        </row>
        <row r="11125">
          <cell r="I11125">
            <v>13.139726027397261</v>
          </cell>
        </row>
        <row r="11136">
          <cell r="I11136">
            <v>955.06797059415078</v>
          </cell>
        </row>
        <row r="11147">
          <cell r="I11147">
            <v>139.83561643835617</v>
          </cell>
        </row>
        <row r="11158">
          <cell r="I11158">
            <v>15.316463561643879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0.70160000000004885</v>
          </cell>
        </row>
        <row r="11202">
          <cell r="I11202">
            <v>130.3231835616439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47.021.195,86</v>
          </cell>
          <cell r="K2" t="str">
            <v>327.620.436,02</v>
          </cell>
          <cell r="N2" t="str">
            <v>71.948.395,79</v>
          </cell>
        </row>
      </sheetData>
      <sheetData sheetId="7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14223.844769725043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44.070160324708283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81.308199999999971</v>
          </cell>
        </row>
        <row r="11092">
          <cell r="I11092">
            <v>326.0280022269468</v>
          </cell>
        </row>
        <row r="11103">
          <cell r="I11103">
            <v>0</v>
          </cell>
        </row>
        <row r="11114">
          <cell r="I11114">
            <v>137.55923013698629</v>
          </cell>
        </row>
        <row r="11125">
          <cell r="I11125">
            <v>13.139726027397261</v>
          </cell>
        </row>
        <row r="11136">
          <cell r="I11136">
            <v>518.14306520579169</v>
          </cell>
        </row>
        <row r="11147">
          <cell r="I11147">
            <v>139.83561643835617</v>
          </cell>
        </row>
        <row r="11158">
          <cell r="I11158">
            <v>8.3657035616438691</v>
          </cell>
        </row>
        <row r="11169">
          <cell r="I11169">
            <v>63.287671232876711</v>
          </cell>
        </row>
        <row r="11180">
          <cell r="I11180">
            <v>96.967569863013836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45.138481450151033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339.985.632,34</v>
          </cell>
          <cell r="N2" t="str">
            <v>35.380.701,91</v>
          </cell>
        </row>
      </sheetData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126.57099697885197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279.00000000000102</v>
          </cell>
        </row>
        <row r="81">
          <cell r="I81">
            <v>2922.2611293051355</v>
          </cell>
        </row>
        <row r="92">
          <cell r="I92">
            <v>3450.9901812688822</v>
          </cell>
        </row>
        <row r="114">
          <cell r="I114">
            <v>221.94712990936554</v>
          </cell>
        </row>
        <row r="125">
          <cell r="I125">
            <v>246.90936555891238</v>
          </cell>
        </row>
        <row r="147">
          <cell r="I147">
            <v>2788.3270392749246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4387.1148036253771</v>
          </cell>
        </row>
        <row r="224">
          <cell r="I224">
            <v>4663.6253776435042</v>
          </cell>
        </row>
        <row r="257">
          <cell r="I257">
            <v>14299.710171428565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38.306767123287685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49.398885337392187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101.38520365296799</v>
          </cell>
        </row>
        <row r="11081">
          <cell r="I11081">
            <v>67.010799999999989</v>
          </cell>
        </row>
        <row r="11092">
          <cell r="I11092">
            <v>496.80814923243804</v>
          </cell>
        </row>
        <row r="11103">
          <cell r="I11103">
            <v>0</v>
          </cell>
        </row>
        <row r="11114">
          <cell r="I11114">
            <v>144.55740263046843</v>
          </cell>
        </row>
        <row r="11125">
          <cell r="I11125">
            <v>13.139726027397261</v>
          </cell>
        </row>
        <row r="11136">
          <cell r="I11136">
            <v>521.96832180203273</v>
          </cell>
        </row>
        <row r="11147">
          <cell r="I11147">
            <v>86.17315999999991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88.372160000000122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704.01888217522651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3247.471487915408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4497.7190332326281</v>
          </cell>
        </row>
        <row r="257">
          <cell r="I257">
            <v>14223.844769725047</v>
          </cell>
        </row>
        <row r="10960">
          <cell r="I10960">
            <v>77.085884241683587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11.11004890902062</v>
          </cell>
        </row>
        <row r="11004">
          <cell r="I11004">
            <v>0</v>
          </cell>
        </row>
        <row r="11015">
          <cell r="I11015">
            <v>162.04978082191764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48.010800000000046</v>
          </cell>
        </row>
        <row r="11092">
          <cell r="I11092">
            <v>330.80247543874748</v>
          </cell>
        </row>
        <row r="11103">
          <cell r="I11103">
            <v>0</v>
          </cell>
        </row>
        <row r="11114">
          <cell r="I11114">
            <v>155.9900566436288</v>
          </cell>
        </row>
        <row r="11125">
          <cell r="I11125">
            <v>13.139726027397261</v>
          </cell>
        </row>
        <row r="11136">
          <cell r="I11136">
            <v>607.00039189356971</v>
          </cell>
        </row>
        <row r="11147">
          <cell r="I11147">
            <v>139.83561643835617</v>
          </cell>
        </row>
        <row r="11158">
          <cell r="I11158">
            <v>12.14184000000002</v>
          </cell>
        </row>
        <row r="11169">
          <cell r="I11169">
            <v>63.287671232876711</v>
          </cell>
        </row>
        <row r="11180">
          <cell r="I11180">
            <v>83.495230136986208</v>
          </cell>
        </row>
        <row r="11191">
          <cell r="I11191">
            <v>0</v>
          </cell>
        </row>
        <row r="11202">
          <cell r="I11202">
            <v>151.53631178193135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11.215723455664643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322.393.651,66</v>
          </cell>
          <cell r="N2" t="str">
            <v>35.380.701,91</v>
          </cell>
        </row>
      </sheetData>
      <sheetData sheetId="7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351.28690119246528</v>
          </cell>
        </row>
        <row r="81">
          <cell r="I81">
            <v>2314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2745.0000000000036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5176.7999999999902</v>
          </cell>
        </row>
        <row r="224">
          <cell r="I224">
            <v>6327.2000000000007</v>
          </cell>
        </row>
        <row r="257">
          <cell r="I257">
            <v>14223.844769725056</v>
          </cell>
        </row>
        <row r="10960">
          <cell r="I10960">
            <v>209.18564114661532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13.502232876712338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74.010799999999847</v>
          </cell>
        </row>
        <row r="11092">
          <cell r="I11092">
            <v>240.37933124897347</v>
          </cell>
        </row>
        <row r="11103">
          <cell r="I11103">
            <v>0</v>
          </cell>
        </row>
        <row r="11114">
          <cell r="I11114">
            <v>112.30106849315079</v>
          </cell>
        </row>
        <row r="11125">
          <cell r="I11125">
            <v>13.139726027397261</v>
          </cell>
        </row>
        <row r="11136">
          <cell r="I11136">
            <v>736.52268303556616</v>
          </cell>
        </row>
        <row r="11147">
          <cell r="I11147">
            <v>133.33315999999996</v>
          </cell>
        </row>
        <row r="11158">
          <cell r="I11158">
            <v>6.6681600000000483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92.410616438356101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309.145.848,06</v>
          </cell>
          <cell r="N2" t="str">
            <v>35.380.701,91</v>
          </cell>
        </row>
      </sheetData>
      <sheetData sheetId="7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279.00000000000068</v>
          </cell>
        </row>
        <row r="81">
          <cell r="I81">
            <v>3758.4303113133046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2745.0000000000018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4000</v>
          </cell>
        </row>
        <row r="224">
          <cell r="I224">
            <v>4000.0000000000045</v>
          </cell>
        </row>
        <row r="257">
          <cell r="I257">
            <v>14223.844769725038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162.04978082191766</v>
          </cell>
        </row>
        <row r="11026">
          <cell r="I11026">
            <v>44.467894469812279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71.962228886911561</v>
          </cell>
        </row>
        <row r="11092">
          <cell r="I11092">
            <v>271.39707202886996</v>
          </cell>
        </row>
        <row r="11103">
          <cell r="I11103">
            <v>0</v>
          </cell>
        </row>
        <row r="11114">
          <cell r="I11114">
            <v>217.64721917808225</v>
          </cell>
        </row>
        <row r="11125">
          <cell r="I11125">
            <v>13.139726027397261</v>
          </cell>
        </row>
        <row r="11136">
          <cell r="I11136">
            <v>718.25164039997003</v>
          </cell>
        </row>
        <row r="11147">
          <cell r="I11147">
            <v>133.32383999999996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317.256.212,86</v>
          </cell>
          <cell r="N2" t="str">
            <v>35.380.701,91</v>
          </cell>
        </row>
      </sheetData>
      <sheetData sheetId="7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3066.9999999999991</v>
          </cell>
        </row>
        <row r="213">
          <cell r="I213">
            <v>4276.510574018127</v>
          </cell>
        </row>
        <row r="224">
          <cell r="I224">
            <v>4510.1739857846114</v>
          </cell>
        </row>
        <row r="257">
          <cell r="I257">
            <v>14223.844769725045</v>
          </cell>
        </row>
        <row r="10960">
          <cell r="I10960">
            <v>128.79918904109564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13.819367123287662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44.070160324708311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48.010799999999932</v>
          </cell>
        </row>
        <row r="11092">
          <cell r="I11092">
            <v>425.41791713757277</v>
          </cell>
        </row>
        <row r="11103">
          <cell r="I11103">
            <v>0</v>
          </cell>
        </row>
        <row r="11114">
          <cell r="I11114">
            <v>132.00855452054816</v>
          </cell>
        </row>
        <row r="11125">
          <cell r="I11125">
            <v>13.139726027397261</v>
          </cell>
        </row>
        <row r="11136">
          <cell r="I11136">
            <v>580.23738564699477</v>
          </cell>
        </row>
        <row r="11147">
          <cell r="I11147">
            <v>139.83561643835617</v>
          </cell>
        </row>
        <row r="11158">
          <cell r="I11158">
            <v>21.095097127614856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11.215723455664719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338.106.304,32</v>
          </cell>
          <cell r="N2" t="str">
            <v>35.380.701,91</v>
          </cell>
        </row>
      </sheetData>
      <sheetData sheetId="7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18.081570996978851</v>
          </cell>
        </row>
        <row r="26">
          <cell r="I26">
            <v>90.407854984894257</v>
          </cell>
        </row>
        <row r="48">
          <cell r="I48">
            <v>1448.9999999999964</v>
          </cell>
        </row>
        <row r="59">
          <cell r="I59">
            <v>1771.0000000000002</v>
          </cell>
        </row>
        <row r="81">
          <cell r="I81">
            <v>2314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2751.1895770392748</v>
          </cell>
        </row>
        <row r="158">
          <cell r="I158">
            <v>2775.9478851963745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4055.3021148036255</v>
          </cell>
        </row>
        <row r="224">
          <cell r="I224">
            <v>4276.510574018127</v>
          </cell>
        </row>
        <row r="257">
          <cell r="I257">
            <v>14223.844769725043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27.940232876712315</v>
          </cell>
        </row>
        <row r="11004">
          <cell r="I11004">
            <v>0</v>
          </cell>
        </row>
        <row r="11015">
          <cell r="I11015">
            <v>148.15821917808222</v>
          </cell>
        </row>
        <row r="11026">
          <cell r="I11026">
            <v>49.027894469812281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0</v>
          </cell>
        </row>
        <row r="11092">
          <cell r="I11092">
            <v>298.12404629458752</v>
          </cell>
        </row>
        <row r="11103">
          <cell r="I11103">
            <v>0</v>
          </cell>
        </row>
        <row r="11114">
          <cell r="I11114">
            <v>159.41888743124926</v>
          </cell>
        </row>
        <row r="11125">
          <cell r="I11125">
            <v>13.139726027397261</v>
          </cell>
        </row>
        <row r="11136">
          <cell r="I11136">
            <v>686.91077556146445</v>
          </cell>
        </row>
        <row r="11147">
          <cell r="I11147">
            <v>122.49316000000002</v>
          </cell>
        </row>
        <row r="11158">
          <cell r="I11158">
            <v>6.3081600000000329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332.354.290,74</v>
          </cell>
          <cell r="N2" t="str">
            <v>35.380.701,91</v>
          </cell>
        </row>
      </sheetData>
      <sheetData sheetId="7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90.407854984894257</v>
          </cell>
        </row>
        <row r="26">
          <cell r="I26">
            <v>180.81570996978851</v>
          </cell>
        </row>
        <row r="48">
          <cell r="I48">
            <v>523.05653865470367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335.7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14223.844769725043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151.50124246555919</v>
          </cell>
        </row>
        <row r="11081">
          <cell r="I11081">
            <v>48.010800000000067</v>
          </cell>
        </row>
        <row r="11092">
          <cell r="I11092">
            <v>351.14164485858578</v>
          </cell>
        </row>
        <row r="11103">
          <cell r="I11103">
            <v>0</v>
          </cell>
        </row>
        <row r="11114">
          <cell r="I11114">
            <v>136.46388695844649</v>
          </cell>
        </row>
        <row r="11125">
          <cell r="I11125">
            <v>13.139726027397261</v>
          </cell>
        </row>
        <row r="11136">
          <cell r="I11136">
            <v>548.22856446022911</v>
          </cell>
        </row>
        <row r="11147">
          <cell r="I11147">
            <v>139.83561643835617</v>
          </cell>
        </row>
        <row r="11158">
          <cell r="I11158">
            <v>12.141840000000006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149.38471131432834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39.53996000000005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338.166.135,34</v>
          </cell>
          <cell r="N2" t="str">
            <v>35.380.701,91</v>
          </cell>
        </row>
      </sheetData>
      <sheetData sheetId="7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3067.0000000000009</v>
          </cell>
        </row>
        <row r="213">
          <cell r="I213">
            <v>4331.8126888217521</v>
          </cell>
        </row>
        <row r="224">
          <cell r="I224">
            <v>4590.389242582195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122.06727988591126</v>
          </cell>
        </row>
        <row r="11081">
          <cell r="I11081">
            <v>81.308199999999985</v>
          </cell>
        </row>
        <row r="11092">
          <cell r="I11092">
            <v>337.71833462593349</v>
          </cell>
        </row>
        <row r="11103">
          <cell r="I11103">
            <v>0</v>
          </cell>
        </row>
        <row r="11114">
          <cell r="I11114">
            <v>139.85696547945213</v>
          </cell>
        </row>
        <row r="11125">
          <cell r="I11125">
            <v>13.139726027397261</v>
          </cell>
        </row>
        <row r="11136">
          <cell r="I11136">
            <v>557.03898665594329</v>
          </cell>
        </row>
        <row r="11147">
          <cell r="I11147">
            <v>139.83561643835617</v>
          </cell>
        </row>
        <row r="11158">
          <cell r="I11158">
            <v>12.141840000000014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143.01834958904101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6.2425599999999228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356.417.712,39</v>
          </cell>
          <cell r="N2" t="str">
            <v>35.380.701,91</v>
          </cell>
        </row>
      </sheetData>
      <sheetData sheetId="7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235.06042296072508</v>
          </cell>
        </row>
        <row r="48">
          <cell r="I48">
            <v>689.95193140393894</v>
          </cell>
        </row>
        <row r="59">
          <cell r="I59">
            <v>892.91616314199393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251.90181268882174</v>
          </cell>
        </row>
        <row r="147">
          <cell r="I147">
            <v>2794.5166163141994</v>
          </cell>
        </row>
        <row r="158">
          <cell r="I158">
            <v>2825.4645015105739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4000</v>
          </cell>
        </row>
        <row r="257">
          <cell r="I257">
            <v>14223.844769725041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19.630200852543158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44.467894469812279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48.010800000000032</v>
          </cell>
        </row>
        <row r="11092">
          <cell r="I11092">
            <v>330.21782900060259</v>
          </cell>
        </row>
        <row r="11103">
          <cell r="I11103">
            <v>0</v>
          </cell>
        </row>
        <row r="11114">
          <cell r="I11114">
            <v>200.36983561643839</v>
          </cell>
        </row>
        <row r="11125">
          <cell r="I11125">
            <v>13.139726027397261</v>
          </cell>
        </row>
        <row r="11136">
          <cell r="I11136">
            <v>562.20899726031257</v>
          </cell>
        </row>
        <row r="11147">
          <cell r="I11147">
            <v>133.98933369863013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39.539959999999965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364.405.526,14</v>
          </cell>
          <cell r="N2" t="str">
            <v>35.380.701,91</v>
          </cell>
        </row>
      </sheetData>
      <sheetData sheetId="7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198.89728096676737</v>
          </cell>
        </row>
        <row r="26">
          <cell r="I26">
            <v>289.30513595166161</v>
          </cell>
        </row>
        <row r="48">
          <cell r="I48">
            <v>812.42360814110748</v>
          </cell>
        </row>
        <row r="59">
          <cell r="I59">
            <v>1034.5891238670695</v>
          </cell>
        </row>
        <row r="81">
          <cell r="I81">
            <v>2314</v>
          </cell>
        </row>
        <row r="114">
          <cell r="I114">
            <v>241.916918429003</v>
          </cell>
        </row>
        <row r="125">
          <cell r="I125">
            <v>266.87915407854985</v>
          </cell>
        </row>
        <row r="147">
          <cell r="I147">
            <v>2813.0853474320243</v>
          </cell>
        </row>
        <row r="158">
          <cell r="I158">
            <v>2844.0332326283988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4608.3232628398791</v>
          </cell>
        </row>
        <row r="224">
          <cell r="I224">
            <v>4884.8338368580062</v>
          </cell>
        </row>
        <row r="257">
          <cell r="I257">
            <v>14223.844769725043</v>
          </cell>
        </row>
        <row r="10960">
          <cell r="I10960">
            <v>42.334427045904604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26.809767123287678</v>
          </cell>
        </row>
        <row r="11004">
          <cell r="I11004">
            <v>0</v>
          </cell>
        </row>
        <row r="11015">
          <cell r="I11015">
            <v>148.15821917808222</v>
          </cell>
        </row>
        <row r="11026">
          <cell r="I11026">
            <v>50.151894469812284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42.819565296803781</v>
          </cell>
        </row>
        <row r="11092">
          <cell r="I11092">
            <v>570.90834884264075</v>
          </cell>
        </row>
        <row r="11103">
          <cell r="I11103">
            <v>0</v>
          </cell>
        </row>
        <row r="11114">
          <cell r="I11114">
            <v>120.51693150684946</v>
          </cell>
        </row>
        <row r="11125">
          <cell r="I11125">
            <v>13.139726027397261</v>
          </cell>
        </row>
        <row r="11136">
          <cell r="I11136">
            <v>702.14160146456743</v>
          </cell>
        </row>
        <row r="11147">
          <cell r="I11147">
            <v>139.83561643835617</v>
          </cell>
        </row>
        <row r="11158">
          <cell r="I11158">
            <v>8.365703561643846</v>
          </cell>
        </row>
        <row r="11169">
          <cell r="I11169">
            <v>63.287671232876711</v>
          </cell>
        </row>
        <row r="11180">
          <cell r="I11180">
            <v>96.967569863013836</v>
          </cell>
        </row>
        <row r="11191">
          <cell r="I11191">
            <v>0</v>
          </cell>
        </row>
        <row r="11202">
          <cell r="I11202">
            <v>139.55838356164395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108.79487721610695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354.737.724,05</v>
          </cell>
          <cell r="N2" t="str">
            <v>35.380.701,91</v>
          </cell>
        </row>
      </sheetData>
      <sheetData sheetId="7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609.57024169184285</v>
          </cell>
        </row>
        <row r="59">
          <cell r="I59">
            <v>798.46752265861028</v>
          </cell>
        </row>
        <row r="81">
          <cell r="I81">
            <v>2882.4950906344411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2813.0853474320243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4332.045209349566</v>
          </cell>
        </row>
        <row r="224">
          <cell r="I224">
            <v>4608.3232628398791</v>
          </cell>
        </row>
        <row r="257">
          <cell r="I257">
            <v>14223.844769725054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38.019367123287672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44.070160324708247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48.010800000000046</v>
          </cell>
        </row>
        <row r="11092">
          <cell r="I11092">
            <v>338.7225797563089</v>
          </cell>
        </row>
        <row r="11103">
          <cell r="I11103">
            <v>0</v>
          </cell>
        </row>
        <row r="11114">
          <cell r="I11114">
            <v>170.60106849315085</v>
          </cell>
        </row>
        <row r="11125">
          <cell r="I11125">
            <v>13.139726027397261</v>
          </cell>
        </row>
        <row r="11136">
          <cell r="I11136">
            <v>557.53525763243169</v>
          </cell>
        </row>
        <row r="11147">
          <cell r="I11147">
            <v>139.83561643835617</v>
          </cell>
        </row>
        <row r="11158">
          <cell r="I11158">
            <v>8.3657035616438211</v>
          </cell>
        </row>
        <row r="11169">
          <cell r="I11169">
            <v>63.287671232876711</v>
          </cell>
        </row>
        <row r="11180">
          <cell r="I11180">
            <v>104.39126386072442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39.539959999999937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340.131.074,39</v>
          </cell>
          <cell r="N2" t="str">
            <v>35.380.701,91</v>
          </cell>
        </row>
      </sheetData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92">
          <cell r="I92">
            <v>3223.5921450151059</v>
          </cell>
        </row>
        <row r="114">
          <cell r="I114">
            <v>187</v>
          </cell>
        </row>
        <row r="125">
          <cell r="I125">
            <v>187.00000000000045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4296.8525190332293</v>
          </cell>
        </row>
        <row r="224">
          <cell r="I224">
            <v>4553.0211480362541</v>
          </cell>
        </row>
        <row r="257">
          <cell r="I257">
            <v>14299.710171428573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49.398885337392201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106.08780365296806</v>
          </cell>
        </row>
        <row r="11081">
          <cell r="I11081">
            <v>33.849108092265006</v>
          </cell>
        </row>
        <row r="11092">
          <cell r="I11092">
            <v>457.3813141532147</v>
          </cell>
        </row>
        <row r="11103">
          <cell r="I11103">
            <v>0</v>
          </cell>
        </row>
        <row r="11114">
          <cell r="I11114">
            <v>195.40983561643858</v>
          </cell>
        </row>
        <row r="11125">
          <cell r="I11125">
            <v>13.139726027397261</v>
          </cell>
        </row>
        <row r="11136">
          <cell r="I11136">
            <v>627.3140208785486</v>
          </cell>
        </row>
        <row r="11147">
          <cell r="I11147">
            <v>66.443839999999994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4442.4169184290031</v>
          </cell>
        </row>
        <row r="224">
          <cell r="I224">
            <v>4663.6253776435042</v>
          </cell>
        </row>
        <row r="257">
          <cell r="I257">
            <v>14223.844769725049</v>
          </cell>
        </row>
        <row r="10960">
          <cell r="I10960">
            <v>89.453435616438185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26.809767123287664</v>
          </cell>
        </row>
        <row r="11004">
          <cell r="I11004">
            <v>0</v>
          </cell>
        </row>
        <row r="11015">
          <cell r="I11015">
            <v>162.37142465753425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82.420566552778709</v>
          </cell>
        </row>
        <row r="11081">
          <cell r="I11081">
            <v>48.010799999999975</v>
          </cell>
        </row>
        <row r="11092">
          <cell r="I11092">
            <v>475.60682022740923</v>
          </cell>
        </row>
        <row r="11103">
          <cell r="I11103">
            <v>0</v>
          </cell>
        </row>
        <row r="11114">
          <cell r="I11114">
            <v>149.30528054794536</v>
          </cell>
        </row>
        <row r="11125">
          <cell r="I11125">
            <v>13.139726027397261</v>
          </cell>
        </row>
        <row r="11136">
          <cell r="I11136">
            <v>735.67464588699875</v>
          </cell>
        </row>
        <row r="11147">
          <cell r="I11147">
            <v>139.83561643835617</v>
          </cell>
        </row>
        <row r="11158">
          <cell r="I11158">
            <v>6.3418400000000119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32.00496000000026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342.104.967,73</v>
          </cell>
          <cell r="N2" t="str">
            <v>35.380.701,91</v>
          </cell>
        </row>
      </sheetData>
      <sheetData sheetId="7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4331.8126888217521</v>
          </cell>
        </row>
        <row r="224">
          <cell r="I224">
            <v>4571.2351640323441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44.070160324708297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108.33055544403086</v>
          </cell>
        </row>
        <row r="11081">
          <cell r="I11081">
            <v>48.01080000000001</v>
          </cell>
        </row>
        <row r="11092">
          <cell r="I11092">
            <v>343.42869133598913</v>
          </cell>
        </row>
        <row r="11103">
          <cell r="I11103">
            <v>0</v>
          </cell>
        </row>
        <row r="11114">
          <cell r="I11114">
            <v>166.26380257021495</v>
          </cell>
        </row>
        <row r="11125">
          <cell r="I11125">
            <v>13.139726027397261</v>
          </cell>
        </row>
        <row r="11136">
          <cell r="I11136">
            <v>527.08430387648684</v>
          </cell>
        </row>
        <row r="11147">
          <cell r="I11147">
            <v>139.83561643835617</v>
          </cell>
        </row>
        <row r="11158">
          <cell r="I11158">
            <v>12.141840000000018</v>
          </cell>
        </row>
        <row r="11169">
          <cell r="I11169">
            <v>63.287671232876704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39.539959999999994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>
        <row r="2">
          <cell r="J2" t="str">
            <v>88.973.415,72</v>
          </cell>
          <cell r="K2" t="str">
            <v>341.162.184,27</v>
          </cell>
          <cell r="N2" t="str">
            <v>35.380.701,91</v>
          </cell>
        </row>
      </sheetData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300.40540540540536</v>
          </cell>
        </row>
        <row r="48">
          <cell r="I48">
            <v>761.81853281853284</v>
          </cell>
        </row>
        <row r="59">
          <cell r="I59">
            <v>1063.5801158301158</v>
          </cell>
        </row>
        <row r="81">
          <cell r="I81">
            <v>3197.7690326684001</v>
          </cell>
        </row>
        <row r="92">
          <cell r="I92">
            <v>3912.3711389961391</v>
          </cell>
        </row>
        <row r="114">
          <cell r="I114">
            <v>238.04247104247105</v>
          </cell>
        </row>
        <row r="125">
          <cell r="I125">
            <v>269.94401544401546</v>
          </cell>
        </row>
        <row r="147">
          <cell r="I147">
            <v>2808.2818532818533</v>
          </cell>
        </row>
        <row r="158">
          <cell r="I158">
            <v>2847.8330115830117</v>
          </cell>
        </row>
        <row r="180">
          <cell r="I180">
            <v>3650.478804438008</v>
          </cell>
        </row>
        <row r="191">
          <cell r="I191">
            <v>3692.4133449520482</v>
          </cell>
        </row>
        <row r="213">
          <cell r="I213">
            <v>4565.405405405405</v>
          </cell>
        </row>
        <row r="224">
          <cell r="I224">
            <v>4918.7837837837833</v>
          </cell>
        </row>
        <row r="257">
          <cell r="I257">
            <v>6165.6514285714456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31.984567123287682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155.3280763470319</v>
          </cell>
        </row>
        <row r="11081">
          <cell r="I11081">
            <v>48.006479999999996</v>
          </cell>
        </row>
        <row r="11092">
          <cell r="I11092">
            <v>650.20182901491523</v>
          </cell>
        </row>
        <row r="11103">
          <cell r="I11103">
            <v>0</v>
          </cell>
        </row>
        <row r="11114">
          <cell r="I11114">
            <v>185.36223561643811</v>
          </cell>
        </row>
        <row r="11125">
          <cell r="I11125">
            <v>13.139726027397261</v>
          </cell>
        </row>
        <row r="11136">
          <cell r="I11136">
            <v>826.88065407803424</v>
          </cell>
        </row>
        <row r="11147">
          <cell r="I11147">
            <v>20.339919999999974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161.50112054794528</v>
          </cell>
        </row>
        <row r="11213">
          <cell r="I11213">
            <v>15.651261369863011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147.46779192886112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92.432432432432421</v>
          </cell>
        </row>
        <row r="26">
          <cell r="I26">
            <v>184.86486486486484</v>
          </cell>
        </row>
        <row r="48">
          <cell r="I48">
            <v>520.40926640926637</v>
          </cell>
        </row>
        <row r="59">
          <cell r="I59">
            <v>822.17084942084944</v>
          </cell>
        </row>
        <row r="81">
          <cell r="I81">
            <v>2604.6129343629345</v>
          </cell>
        </row>
        <row r="92">
          <cell r="I92">
            <v>3331.14527027027</v>
          </cell>
        </row>
        <row r="114">
          <cell r="I114">
            <v>212.52123552123552</v>
          </cell>
        </row>
        <row r="125">
          <cell r="I125">
            <v>238.04247104247105</v>
          </cell>
        </row>
        <row r="147">
          <cell r="I147">
            <v>4128.1776111111085</v>
          </cell>
        </row>
        <row r="158">
          <cell r="I158">
            <v>4128.1776111111103</v>
          </cell>
        </row>
        <row r="180">
          <cell r="I180">
            <v>3650.4788044380084</v>
          </cell>
        </row>
        <row r="191">
          <cell r="I191">
            <v>3692.4133449520482</v>
          </cell>
        </row>
        <row r="213">
          <cell r="I213">
            <v>4282.7027027027025</v>
          </cell>
        </row>
        <row r="224">
          <cell r="I224">
            <v>4595.6868413607008</v>
          </cell>
        </row>
        <row r="257">
          <cell r="I257">
            <v>6165.6514285714511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36.436932876712312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722.35806505683718</v>
          </cell>
        </row>
        <row r="11103">
          <cell r="I11103">
            <v>0</v>
          </cell>
        </row>
        <row r="11114">
          <cell r="I11114">
            <v>258.36270136986298</v>
          </cell>
        </row>
        <row r="11125">
          <cell r="I11125">
            <v>13.139726027397261</v>
          </cell>
        </row>
        <row r="11136">
          <cell r="I11136">
            <v>680.91575729060207</v>
          </cell>
        </row>
        <row r="11147">
          <cell r="I11147">
            <v>58.37495999999998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34.149541890523047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92.432432432432421</v>
          </cell>
        </row>
        <row r="48">
          <cell r="I48">
            <v>339.35231660231659</v>
          </cell>
        </row>
        <row r="59">
          <cell r="I59">
            <v>520.40926640926637</v>
          </cell>
        </row>
        <row r="81">
          <cell r="I81">
            <v>1395.8508933181197</v>
          </cell>
        </row>
        <row r="92">
          <cell r="I92">
            <v>2604.6129343629345</v>
          </cell>
        </row>
        <row r="114">
          <cell r="I114">
            <v>150.02264869613973</v>
          </cell>
        </row>
        <row r="125">
          <cell r="I125">
            <v>212.52123552123552</v>
          </cell>
        </row>
        <row r="147">
          <cell r="I147">
            <v>242.72350032681703</v>
          </cell>
        </row>
        <row r="158">
          <cell r="I158">
            <v>2776.6409266409269</v>
          </cell>
        </row>
        <row r="180">
          <cell r="I180">
            <v>3227.6863726699603</v>
          </cell>
        </row>
        <row r="191">
          <cell r="I191">
            <v>3593.5821616095818</v>
          </cell>
        </row>
        <row r="213">
          <cell r="I213">
            <v>8048.9805757051381</v>
          </cell>
        </row>
        <row r="224">
          <cell r="I224">
            <v>9279.0209757051325</v>
          </cell>
        </row>
        <row r="257">
          <cell r="I257">
            <v>6165.6514285714238</v>
          </cell>
        </row>
        <row r="10960">
          <cell r="I10960">
            <v>218.55342465753424</v>
          </cell>
        </row>
        <row r="10971">
          <cell r="I10971">
            <v>0</v>
          </cell>
        </row>
        <row r="10982">
          <cell r="I10982">
            <v>0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30.540720324708346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0</v>
          </cell>
        </row>
        <row r="11070">
          <cell r="I11070">
            <v>100.81548365296807</v>
          </cell>
        </row>
        <row r="11081">
          <cell r="I11081">
            <v>55.312520000000035</v>
          </cell>
        </row>
        <row r="11092">
          <cell r="I11092">
            <v>319.29048065020442</v>
          </cell>
        </row>
        <row r="11103">
          <cell r="I11103">
            <v>0</v>
          </cell>
        </row>
        <row r="11114">
          <cell r="I11114">
            <v>0</v>
          </cell>
        </row>
        <row r="11125">
          <cell r="I11125">
            <v>0</v>
          </cell>
        </row>
        <row r="11136">
          <cell r="I11136">
            <v>772.51533173170333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0</v>
          </cell>
        </row>
        <row r="11180">
          <cell r="I11180">
            <v>88.888030136986274</v>
          </cell>
        </row>
        <row r="11191">
          <cell r="I11191">
            <v>0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264</v>
          </cell>
        </row>
        <row r="48">
          <cell r="I48">
            <v>761.81853281853284</v>
          </cell>
        </row>
        <row r="59">
          <cell r="I59">
            <v>1005.5548227394115</v>
          </cell>
        </row>
        <row r="81">
          <cell r="I81">
            <v>3185.8388030888032</v>
          </cell>
        </row>
        <row r="92">
          <cell r="I92">
            <v>3860.7613256775708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5176.8000000000011</v>
          </cell>
        </row>
        <row r="224">
          <cell r="I224">
            <v>6327.2000000000007</v>
          </cell>
        </row>
        <row r="257">
          <cell r="I257">
            <v>6165.659657142879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36.174567123287638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62.31251999999995</v>
          </cell>
        </row>
        <row r="11092">
          <cell r="I11092">
            <v>575.64943305164968</v>
          </cell>
        </row>
        <row r="11103">
          <cell r="I11103">
            <v>0</v>
          </cell>
        </row>
        <row r="11114">
          <cell r="I11114">
            <v>202.14234630136869</v>
          </cell>
        </row>
        <row r="11125">
          <cell r="I11125">
            <v>13.139726027397261</v>
          </cell>
        </row>
        <row r="11136">
          <cell r="I11136">
            <v>780.75928766131892</v>
          </cell>
        </row>
        <row r="11147">
          <cell r="I11147">
            <v>1.2540400000000496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92.432432432432421</v>
          </cell>
        </row>
        <row r="48">
          <cell r="I48">
            <v>279</v>
          </cell>
        </row>
        <row r="59">
          <cell r="I59">
            <v>520.40926640926637</v>
          </cell>
        </row>
        <row r="81">
          <cell r="I81">
            <v>6294.6051966362702</v>
          </cell>
        </row>
        <row r="92">
          <cell r="I92">
            <v>8999.6055203287669</v>
          </cell>
        </row>
        <row r="114">
          <cell r="I114">
            <v>134.52000000000004</v>
          </cell>
        </row>
        <row r="125">
          <cell r="I125">
            <v>212.52123552123552</v>
          </cell>
        </row>
        <row r="147">
          <cell r="I147">
            <v>492.69604616295919</v>
          </cell>
        </row>
        <row r="158">
          <cell r="I158">
            <v>2447.4774091134523</v>
          </cell>
        </row>
        <row r="180">
          <cell r="I180">
            <v>3111.3244276372466</v>
          </cell>
        </row>
        <row r="191">
          <cell r="I191">
            <v>3631.7085543036478</v>
          </cell>
        </row>
        <row r="213">
          <cell r="I213">
            <v>1984.8334487520215</v>
          </cell>
        </row>
        <row r="224">
          <cell r="I224">
            <v>4282.7027027027025</v>
          </cell>
        </row>
        <row r="257">
          <cell r="I257">
            <v>6165.6514285714393</v>
          </cell>
        </row>
        <row r="10960">
          <cell r="I10960">
            <v>0</v>
          </cell>
        </row>
        <row r="10971">
          <cell r="I10971">
            <v>0</v>
          </cell>
        </row>
        <row r="10982">
          <cell r="I10982">
            <v>0</v>
          </cell>
        </row>
        <row r="10993">
          <cell r="I10993">
            <v>0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0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0</v>
          </cell>
        </row>
        <row r="11070">
          <cell r="I11070">
            <v>0</v>
          </cell>
        </row>
        <row r="11081">
          <cell r="I11081">
            <v>0</v>
          </cell>
        </row>
        <row r="11092">
          <cell r="I11092">
            <v>8.4000000000000625</v>
          </cell>
        </row>
        <row r="11103">
          <cell r="I11103">
            <v>0</v>
          </cell>
        </row>
        <row r="11114">
          <cell r="I11114">
            <v>54.162235616438664</v>
          </cell>
        </row>
        <row r="11125">
          <cell r="I11125">
            <v>0</v>
          </cell>
        </row>
        <row r="11136">
          <cell r="I11136">
            <v>568.4110632980902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0</v>
          </cell>
        </row>
        <row r="11180">
          <cell r="I11180">
            <v>0</v>
          </cell>
        </row>
        <row r="11191">
          <cell r="I11191">
            <v>0</v>
          </cell>
        </row>
        <row r="11202">
          <cell r="I11202">
            <v>59.301120547945246</v>
          </cell>
        </row>
        <row r="11213">
          <cell r="I11213">
            <v>0</v>
          </cell>
        </row>
        <row r="11224">
          <cell r="I11224">
            <v>0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761.81853281853284</v>
          </cell>
        </row>
        <row r="59">
          <cell r="I59">
            <v>1003.2277992277992</v>
          </cell>
        </row>
        <row r="81">
          <cell r="I81">
            <v>3185.8388030888032</v>
          </cell>
        </row>
        <row r="92">
          <cell r="I92">
            <v>3884.890171664526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3650.478804438008</v>
          </cell>
        </row>
        <row r="191">
          <cell r="I191">
            <v>3692.4133449520482</v>
          </cell>
        </row>
        <row r="213">
          <cell r="I213">
            <v>4565.405405405405</v>
          </cell>
        </row>
        <row r="224">
          <cell r="I224">
            <v>4848.1081081081084</v>
          </cell>
        </row>
        <row r="257">
          <cell r="I257">
            <v>6165.6514285714429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160.17128615371317</v>
          </cell>
        </row>
        <row r="11081">
          <cell r="I11081">
            <v>48.006480000000096</v>
          </cell>
        </row>
        <row r="11092">
          <cell r="I11092">
            <v>678.5623452257355</v>
          </cell>
        </row>
        <row r="11103">
          <cell r="I11103">
            <v>0</v>
          </cell>
        </row>
        <row r="11114">
          <cell r="I11114">
            <v>185.08801369863016</v>
          </cell>
        </row>
        <row r="11125">
          <cell r="I11125">
            <v>13.139726027397261</v>
          </cell>
        </row>
        <row r="11136">
          <cell r="I11136">
            <v>879.68065407803397</v>
          </cell>
        </row>
        <row r="11147">
          <cell r="I11147">
            <v>29.206088179232815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148.19644000000028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92.432432432432421</v>
          </cell>
        </row>
        <row r="26">
          <cell r="I26">
            <v>207.97297297297294</v>
          </cell>
        </row>
        <row r="48">
          <cell r="I48">
            <v>1942.75</v>
          </cell>
        </row>
        <row r="59">
          <cell r="I59">
            <v>1942.75</v>
          </cell>
        </row>
        <row r="81">
          <cell r="I81">
            <v>2655.3326041234636</v>
          </cell>
        </row>
        <row r="92">
          <cell r="I92">
            <v>3331.14527027027</v>
          </cell>
        </row>
        <row r="114">
          <cell r="I114">
            <v>212.52123552123552</v>
          </cell>
        </row>
        <row r="125">
          <cell r="I125">
            <v>244.42277992277991</v>
          </cell>
        </row>
        <row r="147">
          <cell r="I147">
            <v>2776.6409266409269</v>
          </cell>
        </row>
        <row r="158">
          <cell r="I158">
            <v>2816.1920849420849</v>
          </cell>
        </row>
        <row r="180">
          <cell r="I180">
            <v>3650.4788044380089</v>
          </cell>
        </row>
        <row r="191">
          <cell r="I191">
            <v>3692.4133449520482</v>
          </cell>
        </row>
        <row r="213">
          <cell r="I213">
            <v>4282.7027027027025</v>
          </cell>
        </row>
        <row r="224">
          <cell r="I224">
            <v>4636.0810810810808</v>
          </cell>
        </row>
        <row r="257">
          <cell r="I257">
            <v>6165.6514285714411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32.992794587188378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732.9085710231634</v>
          </cell>
        </row>
        <row r="11103">
          <cell r="I11103">
            <v>0</v>
          </cell>
        </row>
        <row r="11114">
          <cell r="I11114">
            <v>162.56223561643836</v>
          </cell>
        </row>
        <row r="11125">
          <cell r="I11125">
            <v>13.139726027397261</v>
          </cell>
        </row>
        <row r="11136">
          <cell r="I11136">
            <v>847.37341055680031</v>
          </cell>
        </row>
        <row r="11147">
          <cell r="I11147">
            <v>20.37495999999997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161.50112054794522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105.8764754450394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184.86486486486484</v>
          </cell>
        </row>
        <row r="26">
          <cell r="I26">
            <v>277.29729729729723</v>
          </cell>
        </row>
        <row r="48">
          <cell r="I48">
            <v>761.81853281853284</v>
          </cell>
        </row>
        <row r="59">
          <cell r="I59">
            <v>1012.5908473402063</v>
          </cell>
        </row>
        <row r="81">
          <cell r="I81">
            <v>3185.8388030888032</v>
          </cell>
        </row>
        <row r="92">
          <cell r="I92">
            <v>3912.3711389961391</v>
          </cell>
        </row>
        <row r="114">
          <cell r="I114">
            <v>336.3</v>
          </cell>
        </row>
        <row r="125">
          <cell r="I125">
            <v>336.3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3650.4788044380084</v>
          </cell>
        </row>
        <row r="191">
          <cell r="I191">
            <v>3692.4133449520482</v>
          </cell>
        </row>
        <row r="213">
          <cell r="I213">
            <v>4565.405405405405</v>
          </cell>
        </row>
        <row r="224">
          <cell r="I224">
            <v>4848.1081081081084</v>
          </cell>
        </row>
        <row r="257">
          <cell r="I257">
            <v>6165.6514285714311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31.984567123287693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155.32807634703201</v>
          </cell>
        </row>
        <row r="11081">
          <cell r="I11081">
            <v>48.006479999999968</v>
          </cell>
        </row>
        <row r="11092">
          <cell r="I11092">
            <v>729.73268294004674</v>
          </cell>
        </row>
        <row r="11103">
          <cell r="I11103">
            <v>0</v>
          </cell>
        </row>
        <row r="11114">
          <cell r="I11114">
            <v>185.08801369863002</v>
          </cell>
        </row>
        <row r="11125">
          <cell r="I11125">
            <v>13.139726027397261</v>
          </cell>
        </row>
        <row r="11136">
          <cell r="I11136">
            <v>833.67709953083988</v>
          </cell>
        </row>
        <row r="11147">
          <cell r="I11147">
            <v>20.339919999999953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6.5722591103279395</v>
          </cell>
        </row>
        <row r="11202">
          <cell r="I11202">
            <v>161.77534246575343</v>
          </cell>
        </row>
        <row r="11213">
          <cell r="I11213">
            <v>15.651261369863004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140.8955328185329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323.51351351351349</v>
          </cell>
        </row>
        <row r="26">
          <cell r="I26">
            <v>335</v>
          </cell>
        </row>
        <row r="48">
          <cell r="I48">
            <v>1123.9324324324325</v>
          </cell>
        </row>
        <row r="59">
          <cell r="I59">
            <v>1365.3416988416989</v>
          </cell>
        </row>
        <row r="81">
          <cell r="I81">
            <v>4057.6776061776059</v>
          </cell>
        </row>
        <row r="92">
          <cell r="I92">
            <v>4638.9034749034745</v>
          </cell>
        </row>
        <row r="114">
          <cell r="I114">
            <v>276.32432432432432</v>
          </cell>
        </row>
        <row r="125">
          <cell r="I125">
            <v>301.84555984555982</v>
          </cell>
        </row>
        <row r="147">
          <cell r="I147">
            <v>0</v>
          </cell>
        </row>
        <row r="158">
          <cell r="I158">
            <v>2384.9393994637608</v>
          </cell>
        </row>
        <row r="180">
          <cell r="I180">
            <v>3650.4788044380089</v>
          </cell>
        </row>
        <row r="191">
          <cell r="I191">
            <v>3692.4133449520482</v>
          </cell>
        </row>
        <row r="213">
          <cell r="I213">
            <v>4989.4594594594591</v>
          </cell>
        </row>
        <row r="224">
          <cell r="I224">
            <v>5272.1621621621616</v>
          </cell>
        </row>
        <row r="257">
          <cell r="I257">
            <v>6165.6514285714056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34.084486390225834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40.657454440722972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328.39509461187225</v>
          </cell>
        </row>
        <row r="11070">
          <cell r="I11070">
            <v>108.32375634703206</v>
          </cell>
        </row>
        <row r="11081">
          <cell r="I11081">
            <v>96.00648000000001</v>
          </cell>
        </row>
        <row r="11092">
          <cell r="I11092">
            <v>95.875913311119376</v>
          </cell>
        </row>
        <row r="11103">
          <cell r="I11103">
            <v>0</v>
          </cell>
        </row>
        <row r="11114">
          <cell r="I11114">
            <v>185.08801369863011</v>
          </cell>
        </row>
        <row r="11125">
          <cell r="I11125">
            <v>13.139726027397261</v>
          </cell>
        </row>
        <row r="11136">
          <cell r="I11136">
            <v>677.41019568273157</v>
          </cell>
        </row>
        <row r="11147">
          <cell r="I11147">
            <v>45.153465509072383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0.85460000000001912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90.156999999999996</v>
          </cell>
        </row>
        <row r="11257">
          <cell r="I11257">
            <v>0.60273972602739723</v>
          </cell>
        </row>
        <row r="11268">
          <cell r="I11268">
            <v>117.13580254571833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1244.6370656370657</v>
          </cell>
        </row>
        <row r="59">
          <cell r="I59">
            <v>1942.75</v>
          </cell>
        </row>
        <row r="81">
          <cell r="I81">
            <v>4348.29054054054</v>
          </cell>
        </row>
        <row r="92">
          <cell r="I92">
            <v>4985.8274525930119</v>
          </cell>
        </row>
        <row r="114">
          <cell r="I114">
            <v>289.0849420849421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4128.1776111111094</v>
          </cell>
        </row>
        <row r="180">
          <cell r="I180">
            <v>3650.478804438008</v>
          </cell>
        </row>
        <row r="191">
          <cell r="I191">
            <v>3692.4133449520486</v>
          </cell>
        </row>
        <row r="213">
          <cell r="I213">
            <v>134.67551980082163</v>
          </cell>
        </row>
        <row r="224">
          <cell r="I224">
            <v>4117.7927927927931</v>
          </cell>
        </row>
        <row r="257">
          <cell r="I257">
            <v>6165.6514285714338</v>
          </cell>
        </row>
        <row r="10960">
          <cell r="I10960">
            <v>0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0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0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388.24203942641407</v>
          </cell>
        </row>
        <row r="11070">
          <cell r="I11070">
            <v>0</v>
          </cell>
        </row>
        <row r="11081">
          <cell r="I11081">
            <v>50.502027946669855</v>
          </cell>
        </row>
        <row r="11092">
          <cell r="I11092">
            <v>8.3999999999995794</v>
          </cell>
        </row>
        <row r="11103">
          <cell r="I11103">
            <v>0</v>
          </cell>
        </row>
        <row r="11114">
          <cell r="I11114">
            <v>0</v>
          </cell>
        </row>
        <row r="11125">
          <cell r="I11125">
            <v>3.6397000000000332</v>
          </cell>
        </row>
        <row r="11136">
          <cell r="I11136">
            <v>517.45917064379216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0</v>
          </cell>
        </row>
        <row r="11191">
          <cell r="I11191">
            <v>0.85460000000006175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0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192.14751940436756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1244.6370656370657</v>
          </cell>
        </row>
        <row r="59">
          <cell r="I59">
            <v>1642.74</v>
          </cell>
        </row>
        <row r="81">
          <cell r="I81">
            <v>1028.497030925002</v>
          </cell>
        </row>
        <row r="92">
          <cell r="I92">
            <v>2377.0772309250001</v>
          </cell>
        </row>
        <row r="114">
          <cell r="I114">
            <v>289.0849420849421</v>
          </cell>
        </row>
        <row r="125">
          <cell r="I125">
            <v>314.6061776061776</v>
          </cell>
        </row>
        <row r="147">
          <cell r="I147">
            <v>2871.5637065637065</v>
          </cell>
        </row>
        <row r="158">
          <cell r="I158">
            <v>3314.7102026198208</v>
          </cell>
        </row>
        <row r="180">
          <cell r="I180">
            <v>3650.4788044380084</v>
          </cell>
        </row>
        <row r="191">
          <cell r="I191">
            <v>3692.4133449520482</v>
          </cell>
        </row>
        <row r="213">
          <cell r="I213">
            <v>5130.8108108108108</v>
          </cell>
        </row>
        <row r="224">
          <cell r="I224">
            <v>6185.3724639514603</v>
          </cell>
        </row>
        <row r="257">
          <cell r="I257">
            <v>6165.6514285714265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34.027067123287679</v>
          </cell>
        </row>
        <row r="11004">
          <cell r="I11004">
            <v>0</v>
          </cell>
        </row>
        <row r="11015">
          <cell r="I11015">
            <v>142.96301232089422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289.03141468493163</v>
          </cell>
        </row>
        <row r="11070">
          <cell r="I11070">
            <v>170.81643835616438</v>
          </cell>
        </row>
        <row r="11081">
          <cell r="I11081">
            <v>74.006479999999968</v>
          </cell>
        </row>
        <row r="11092">
          <cell r="I11092">
            <v>288.7607194167723</v>
          </cell>
        </row>
        <row r="11103">
          <cell r="I11103">
            <v>0</v>
          </cell>
        </row>
        <row r="11114">
          <cell r="I11114">
            <v>147.5422356164384</v>
          </cell>
        </row>
        <row r="11125">
          <cell r="I11125">
            <v>13.139726027397261</v>
          </cell>
        </row>
        <row r="11136">
          <cell r="I11136">
            <v>727.35959610283567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101.28864231766032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822.17084942084944</v>
          </cell>
        </row>
        <row r="59">
          <cell r="I59">
            <v>1123.9324324324325</v>
          </cell>
        </row>
        <row r="81">
          <cell r="I81">
            <v>3331.14527027027</v>
          </cell>
        </row>
        <row r="92">
          <cell r="I92">
            <v>4057.6776061776059</v>
          </cell>
        </row>
        <row r="114">
          <cell r="I114">
            <v>244.42277992277991</v>
          </cell>
        </row>
        <row r="125">
          <cell r="I125">
            <v>269.94401544401546</v>
          </cell>
        </row>
        <row r="147">
          <cell r="I147">
            <v>2816.1920849420849</v>
          </cell>
        </row>
        <row r="158">
          <cell r="I158">
            <v>2847.8330115830117</v>
          </cell>
        </row>
        <row r="180">
          <cell r="I180">
            <v>3650.478804438007</v>
          </cell>
        </row>
        <row r="191">
          <cell r="I191">
            <v>3692.4133449520482</v>
          </cell>
        </row>
        <row r="213">
          <cell r="I213">
            <v>4636.0810810810808</v>
          </cell>
        </row>
        <row r="224">
          <cell r="I224">
            <v>4919.7004998498605</v>
          </cell>
        </row>
        <row r="257">
          <cell r="I257">
            <v>6165.6514285714456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50.040361098694419</v>
          </cell>
        </row>
        <row r="11092">
          <cell r="I11092">
            <v>695.48016235060538</v>
          </cell>
        </row>
        <row r="11103">
          <cell r="I11103">
            <v>0</v>
          </cell>
        </row>
        <row r="11114">
          <cell r="I11114">
            <v>188.85804328767136</v>
          </cell>
        </row>
        <row r="11125">
          <cell r="I11125">
            <v>13.139726027397261</v>
          </cell>
        </row>
        <row r="11136">
          <cell r="I11136">
            <v>796.3219301874135</v>
          </cell>
        </row>
        <row r="11147">
          <cell r="I11147">
            <v>20.33991999999996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277.29729729729723</v>
          </cell>
        </row>
        <row r="26">
          <cell r="I26">
            <v>335</v>
          </cell>
        </row>
        <row r="48">
          <cell r="I48">
            <v>0</v>
          </cell>
        </row>
        <row r="59">
          <cell r="I59">
            <v>0</v>
          </cell>
        </row>
        <row r="81">
          <cell r="I81">
            <v>3767.0646718146718</v>
          </cell>
        </row>
        <row r="92">
          <cell r="I92">
            <v>4446.6836079579634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2839.9227799227801</v>
          </cell>
        </row>
        <row r="158">
          <cell r="I158">
            <v>2871.5637065637065</v>
          </cell>
        </row>
        <row r="180">
          <cell r="I180">
            <v>3650.4788044380075</v>
          </cell>
        </row>
        <row r="191">
          <cell r="I191">
            <v>3692.4133449520477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6165.6514285714347</v>
          </cell>
        </row>
        <row r="10960">
          <cell r="I10960">
            <v>149.87612054794511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26.274727123287676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169.71252920547991</v>
          </cell>
        </row>
        <row r="11081">
          <cell r="I11081">
            <v>59.519485520884352</v>
          </cell>
        </row>
        <row r="11092">
          <cell r="I11092">
            <v>710.19600841801389</v>
          </cell>
        </row>
        <row r="11103">
          <cell r="I11103">
            <v>0</v>
          </cell>
        </row>
        <row r="11114">
          <cell r="I11114">
            <v>242.77237838248615</v>
          </cell>
        </row>
        <row r="11125">
          <cell r="I11125">
            <v>13.139726027397261</v>
          </cell>
        </row>
        <row r="11136">
          <cell r="I11136">
            <v>934.18361087949484</v>
          </cell>
        </row>
        <row r="11147">
          <cell r="I11147">
            <v>22.52178094369031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300.40540540540536</v>
          </cell>
        </row>
        <row r="48">
          <cell r="I48">
            <v>822.17084942084944</v>
          </cell>
        </row>
        <row r="59">
          <cell r="I59">
            <v>1123.9324324324325</v>
          </cell>
        </row>
        <row r="81">
          <cell r="I81">
            <v>3331.14527027027</v>
          </cell>
        </row>
        <row r="92">
          <cell r="I92">
            <v>4057.6776061776059</v>
          </cell>
        </row>
        <row r="114">
          <cell r="I114">
            <v>0</v>
          </cell>
        </row>
        <row r="125">
          <cell r="I125">
            <v>0</v>
          </cell>
        </row>
        <row r="147">
          <cell r="I147">
            <v>2816.1920849420849</v>
          </cell>
        </row>
        <row r="158">
          <cell r="I158">
            <v>2847.8330115830117</v>
          </cell>
        </row>
        <row r="180">
          <cell r="I180">
            <v>3650.4788044380066</v>
          </cell>
        </row>
        <row r="191">
          <cell r="I191">
            <v>3692.4133449520482</v>
          </cell>
        </row>
        <row r="213">
          <cell r="I213">
            <v>4636.0810810810808</v>
          </cell>
        </row>
        <row r="224">
          <cell r="I224">
            <v>4925.6889168382804</v>
          </cell>
        </row>
        <row r="257">
          <cell r="I257">
            <v>6165.6514285714456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10.51378425761073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48.006479999999954</v>
          </cell>
        </row>
        <row r="11092">
          <cell r="I11092">
            <v>706.48116428899323</v>
          </cell>
        </row>
        <row r="11103">
          <cell r="I11103">
            <v>0</v>
          </cell>
        </row>
        <row r="11114">
          <cell r="I11114">
            <v>185.08801369863011</v>
          </cell>
        </row>
        <row r="11125">
          <cell r="I11125">
            <v>13.139726027397261</v>
          </cell>
        </row>
        <row r="11136">
          <cell r="I11136">
            <v>794.22587512659925</v>
          </cell>
        </row>
        <row r="11147">
          <cell r="I11147">
            <v>20.339919999999978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15.651261369863011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148.19644000000025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46.21621621621621</v>
          </cell>
        </row>
        <row r="26">
          <cell r="I26">
            <v>138.64864864864862</v>
          </cell>
        </row>
        <row r="48">
          <cell r="I48">
            <v>399.70463320463318</v>
          </cell>
        </row>
        <row r="59">
          <cell r="I59">
            <v>641.11389961389966</v>
          </cell>
        </row>
        <row r="81">
          <cell r="I81">
            <v>5044.4999999999982</v>
          </cell>
        </row>
        <row r="92">
          <cell r="I92">
            <v>6165.5000000000009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2752.9102316602316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4086.4976155984541</v>
          </cell>
        </row>
        <row r="224">
          <cell r="I224">
            <v>4424.0540540540542</v>
          </cell>
        </row>
        <row r="257">
          <cell r="I257">
            <v>6165.6596571428563</v>
          </cell>
        </row>
        <row r="10960">
          <cell r="I10960">
            <v>163.74371995671265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34.306767123287692</v>
          </cell>
        </row>
        <row r="11004">
          <cell r="I11004">
            <v>0</v>
          </cell>
        </row>
        <row r="11015">
          <cell r="I11015">
            <v>152.77143013698617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611.0461872825872</v>
          </cell>
        </row>
        <row r="11103">
          <cell r="I11103">
            <v>0</v>
          </cell>
        </row>
        <row r="11114">
          <cell r="I11114">
            <v>191.49376438356177</v>
          </cell>
        </row>
        <row r="11125">
          <cell r="I11125">
            <v>13.139726027397261</v>
          </cell>
        </row>
        <row r="11136">
          <cell r="I11136">
            <v>737.25763185839219</v>
          </cell>
        </row>
        <row r="11147">
          <cell r="I11147">
            <v>101.25404000000003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28.416839999999915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36.163141993957701</v>
          </cell>
        </row>
        <row r="26">
          <cell r="I26">
            <v>108.48942598187311</v>
          </cell>
        </row>
        <row r="48">
          <cell r="I48">
            <v>373.44864048338366</v>
          </cell>
        </row>
        <row r="59">
          <cell r="I59">
            <v>609.57024169184285</v>
          </cell>
        </row>
        <row r="81">
          <cell r="I81">
            <v>2335.2775904416153</v>
          </cell>
        </row>
        <row r="92">
          <cell r="I92">
            <v>2871.5289187488297</v>
          </cell>
        </row>
        <row r="114">
          <cell r="I114">
            <v>196.98489425981873</v>
          </cell>
        </row>
        <row r="125">
          <cell r="I125">
            <v>216.95468277945619</v>
          </cell>
        </row>
        <row r="147">
          <cell r="I147">
            <v>2757.3791540785501</v>
          </cell>
        </row>
        <row r="158">
          <cell r="I158">
            <v>2782.1374622356498</v>
          </cell>
        </row>
        <row r="180">
          <cell r="I180">
            <v>3645.9679150342417</v>
          </cell>
        </row>
        <row r="191">
          <cell r="I191">
            <v>3645.9679150342404</v>
          </cell>
        </row>
        <row r="213">
          <cell r="I213">
            <v>4110.604229607251</v>
          </cell>
        </row>
        <row r="224">
          <cell r="I224">
            <v>4331.8126888217521</v>
          </cell>
        </row>
        <row r="257">
          <cell r="I257">
            <v>14223.844769725045</v>
          </cell>
        </row>
        <row r="10960">
          <cell r="I10960">
            <v>200.69976404148647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33.905368835225865</v>
          </cell>
        </row>
        <row r="11004">
          <cell r="I11004">
            <v>0</v>
          </cell>
        </row>
        <row r="11015">
          <cell r="I11015">
            <v>95.623380821917735</v>
          </cell>
        </row>
        <row r="11026">
          <cell r="I11026">
            <v>45.581561237950389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152.63600365296799</v>
          </cell>
        </row>
        <row r="11081">
          <cell r="I11081">
            <v>0</v>
          </cell>
        </row>
        <row r="11092">
          <cell r="I11092">
            <v>601.52431550588426</v>
          </cell>
        </row>
        <row r="11103">
          <cell r="I11103">
            <v>0</v>
          </cell>
        </row>
        <row r="11114">
          <cell r="I11114">
            <v>155.02816438356152</v>
          </cell>
        </row>
        <row r="11125">
          <cell r="I11125">
            <v>13.139726027397261</v>
          </cell>
        </row>
        <row r="11136">
          <cell r="I11136">
            <v>541.52271928933976</v>
          </cell>
        </row>
        <row r="11147">
          <cell r="I11147">
            <v>28.425679999999989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132.83947945205483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72.326283987915403</v>
          </cell>
        </row>
        <row r="48">
          <cell r="I48">
            <v>326.22432024169183</v>
          </cell>
        </row>
        <row r="59">
          <cell r="I59">
            <v>467.89728096676737</v>
          </cell>
        </row>
        <row r="81">
          <cell r="I81">
            <v>1510.2187106833073</v>
          </cell>
        </row>
        <row r="92">
          <cell r="I92">
            <v>2541.3980362537764</v>
          </cell>
        </row>
        <row r="114">
          <cell r="I114">
            <v>187</v>
          </cell>
        </row>
        <row r="125">
          <cell r="I125">
            <v>206.96978851963746</v>
          </cell>
        </row>
        <row r="147">
          <cell r="I147">
            <v>4128.1776111111103</v>
          </cell>
        </row>
        <row r="158">
          <cell r="I158">
            <v>4128.1776111111094</v>
          </cell>
        </row>
        <row r="180">
          <cell r="I180">
            <v>3154.1025098290256</v>
          </cell>
        </row>
        <row r="191">
          <cell r="I191">
            <v>3645.9679150342386</v>
          </cell>
        </row>
        <row r="213">
          <cell r="I213">
            <v>3432.6183742393787</v>
          </cell>
        </row>
        <row r="224">
          <cell r="I224">
            <v>4221.2084592145011</v>
          </cell>
        </row>
        <row r="257">
          <cell r="I257">
            <v>14223.844769725045</v>
          </cell>
        </row>
        <row r="10960">
          <cell r="I10960">
            <v>162.9442750104696</v>
          </cell>
        </row>
        <row r="10971">
          <cell r="I10971">
            <v>0</v>
          </cell>
        </row>
        <row r="10982">
          <cell r="I10982">
            <v>0</v>
          </cell>
        </row>
        <row r="10993">
          <cell r="I10993">
            <v>24.461208532519702</v>
          </cell>
        </row>
        <row r="11004">
          <cell r="I11004">
            <v>0</v>
          </cell>
        </row>
        <row r="11015">
          <cell r="I11015">
            <v>89.412126678843535</v>
          </cell>
        </row>
        <row r="11026">
          <cell r="I11026">
            <v>42.304635210553002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297.82231269406373</v>
          </cell>
        </row>
        <row r="11070">
          <cell r="I11070">
            <v>170.81643835616438</v>
          </cell>
        </row>
        <row r="11081">
          <cell r="I11081">
            <v>51.969471695324167</v>
          </cell>
        </row>
        <row r="11092">
          <cell r="I11092">
            <v>8.3999999999999844</v>
          </cell>
        </row>
        <row r="11103">
          <cell r="I11103">
            <v>0</v>
          </cell>
        </row>
        <row r="11114">
          <cell r="I11114">
            <v>149.61668872775431</v>
          </cell>
        </row>
        <row r="11125">
          <cell r="I11125">
            <v>13.139726027397261</v>
          </cell>
        </row>
        <row r="11136">
          <cell r="I11136">
            <v>736.52268303556264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0</v>
          </cell>
        </row>
        <row r="11180">
          <cell r="I11180">
            <v>100.75041278538812</v>
          </cell>
        </row>
        <row r="11191">
          <cell r="I11191">
            <v>0</v>
          </cell>
        </row>
        <row r="11202">
          <cell r="I11202">
            <v>123.56347945205489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274.04688442547496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326.22432024169183</v>
          </cell>
        </row>
        <row r="59">
          <cell r="I59">
            <v>373.44864048338366</v>
          </cell>
        </row>
        <row r="81">
          <cell r="I81">
            <v>1457.8707106833085</v>
          </cell>
        </row>
        <row r="92">
          <cell r="I92">
            <v>2314</v>
          </cell>
        </row>
        <row r="114">
          <cell r="I114">
            <v>0</v>
          </cell>
        </row>
        <row r="125">
          <cell r="I125">
            <v>187</v>
          </cell>
        </row>
        <row r="147">
          <cell r="I147">
            <v>0</v>
          </cell>
        </row>
        <row r="158">
          <cell r="I158">
            <v>2375.4691144908611</v>
          </cell>
        </row>
        <row r="180">
          <cell r="I180">
            <v>2953.9306759616411</v>
          </cell>
        </row>
        <row r="191">
          <cell r="I191">
            <v>3520.2368749530606</v>
          </cell>
        </row>
        <row r="213">
          <cell r="I213">
            <v>5562.8742437095962</v>
          </cell>
        </row>
        <row r="224">
          <cell r="I224">
            <v>8951.232320668918</v>
          </cell>
        </row>
        <row r="257">
          <cell r="I257">
            <v>14223.844769725045</v>
          </cell>
        </row>
        <row r="10960">
          <cell r="I10960">
            <v>0</v>
          </cell>
        </row>
        <row r="10971">
          <cell r="I10971">
            <v>0</v>
          </cell>
        </row>
        <row r="10982">
          <cell r="I10982">
            <v>0</v>
          </cell>
        </row>
        <row r="10993">
          <cell r="I10993">
            <v>0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0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0</v>
          </cell>
        </row>
        <row r="11070">
          <cell r="I11070">
            <v>0</v>
          </cell>
        </row>
        <row r="11081">
          <cell r="I11081">
            <v>0</v>
          </cell>
        </row>
        <row r="11092">
          <cell r="I11092">
            <v>0</v>
          </cell>
        </row>
        <row r="11103">
          <cell r="I11103">
            <v>0</v>
          </cell>
        </row>
        <row r="11114">
          <cell r="I11114">
            <v>0</v>
          </cell>
        </row>
        <row r="11125">
          <cell r="I11125">
            <v>0</v>
          </cell>
        </row>
        <row r="11136">
          <cell r="I11136">
            <v>0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0</v>
          </cell>
        </row>
        <row r="11180">
          <cell r="I11180">
            <v>0</v>
          </cell>
        </row>
        <row r="11191">
          <cell r="I11191">
            <v>0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0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</v>
          </cell>
        </row>
        <row r="11268">
          <cell r="I11268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0</v>
          </cell>
        </row>
        <row r="59">
          <cell r="I59">
            <v>279</v>
          </cell>
        </row>
        <row r="81">
          <cell r="I81">
            <v>6232.211247506475</v>
          </cell>
        </row>
        <row r="92">
          <cell r="I92">
            <v>8776.5848309249996</v>
          </cell>
        </row>
        <row r="114">
          <cell r="I114">
            <v>0</v>
          </cell>
        </row>
        <row r="125">
          <cell r="I125">
            <v>187</v>
          </cell>
        </row>
        <row r="147">
          <cell r="I147">
            <v>47.89139999999842</v>
          </cell>
        </row>
        <row r="158">
          <cell r="I158">
            <v>1069.0854647381982</v>
          </cell>
        </row>
        <row r="180">
          <cell r="I180">
            <v>3060.0599910301357</v>
          </cell>
        </row>
        <row r="191">
          <cell r="I191">
            <v>3409.7166549330341</v>
          </cell>
        </row>
        <row r="213">
          <cell r="I213">
            <v>960.73731205962508</v>
          </cell>
        </row>
        <row r="224">
          <cell r="I224">
            <v>4000</v>
          </cell>
        </row>
        <row r="257">
          <cell r="I257">
            <v>14223.844769725045</v>
          </cell>
        </row>
        <row r="10960">
          <cell r="I10960">
            <v>0</v>
          </cell>
        </row>
        <row r="10971">
          <cell r="I10971">
            <v>0</v>
          </cell>
        </row>
        <row r="10982">
          <cell r="I10982">
            <v>0</v>
          </cell>
        </row>
        <row r="10993">
          <cell r="I10993">
            <v>0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0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0</v>
          </cell>
        </row>
        <row r="11070">
          <cell r="I11070">
            <v>0</v>
          </cell>
        </row>
        <row r="11081">
          <cell r="I11081">
            <v>0</v>
          </cell>
        </row>
        <row r="11092">
          <cell r="I11092">
            <v>0</v>
          </cell>
        </row>
        <row r="11103">
          <cell r="I11103">
            <v>0</v>
          </cell>
        </row>
        <row r="11114">
          <cell r="I11114">
            <v>0</v>
          </cell>
        </row>
        <row r="11125">
          <cell r="I11125">
            <v>0</v>
          </cell>
        </row>
        <row r="11136">
          <cell r="I11136">
            <v>0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0</v>
          </cell>
        </row>
        <row r="11180">
          <cell r="I11180">
            <v>0</v>
          </cell>
        </row>
        <row r="11191">
          <cell r="I11191">
            <v>0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0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</v>
          </cell>
        </row>
        <row r="11268">
          <cell r="I11268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373.44864048338366</v>
          </cell>
        </row>
        <row r="59">
          <cell r="I59">
            <v>515.1216012084592</v>
          </cell>
        </row>
        <row r="81">
          <cell r="I81">
            <v>2314</v>
          </cell>
        </row>
        <row r="92">
          <cell r="I92">
            <v>2655.0970543806648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2745</v>
          </cell>
        </row>
        <row r="158">
          <cell r="I158">
            <v>2775.9478851963745</v>
          </cell>
        </row>
        <row r="180">
          <cell r="I180">
            <v>3645.9679150342427</v>
          </cell>
        </row>
        <row r="191">
          <cell r="I191">
            <v>3645.9679150342404</v>
          </cell>
        </row>
        <row r="213">
          <cell r="I213">
            <v>4001.270633057517</v>
          </cell>
        </row>
        <row r="224">
          <cell r="I224">
            <v>4276.510574018127</v>
          </cell>
        </row>
        <row r="257">
          <cell r="I257">
            <v>14223.844769725045</v>
          </cell>
        </row>
        <row r="10960">
          <cell r="I10960">
            <v>170.39165783818547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25.625732876712327</v>
          </cell>
        </row>
        <row r="11004">
          <cell r="I11004">
            <v>0</v>
          </cell>
        </row>
        <row r="11015">
          <cell r="I11015">
            <v>108.97458873715694</v>
          </cell>
        </row>
        <row r="11026">
          <cell r="I11026">
            <v>56.50863521055301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152.63600365296813</v>
          </cell>
        </row>
        <row r="11081">
          <cell r="I11081">
            <v>0</v>
          </cell>
        </row>
        <row r="11092">
          <cell r="I11092">
            <v>621.70255251818048</v>
          </cell>
        </row>
        <row r="11103">
          <cell r="I11103">
            <v>0</v>
          </cell>
        </row>
        <row r="11114">
          <cell r="I11114">
            <v>141.29230136986303</v>
          </cell>
        </row>
        <row r="11125">
          <cell r="I11125">
            <v>13.139726027397261</v>
          </cell>
        </row>
        <row r="11136">
          <cell r="I11136">
            <v>715.79113016547319</v>
          </cell>
        </row>
        <row r="11147">
          <cell r="I11147">
            <v>28.425680000000007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100.66191232876724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15.659901369862983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72.326283987915403</v>
          </cell>
        </row>
        <row r="48">
          <cell r="I48">
            <v>1942.7500000000002</v>
          </cell>
        </row>
        <row r="59">
          <cell r="I59">
            <v>1942.75</v>
          </cell>
        </row>
        <row r="81">
          <cell r="I81">
            <v>1977.7062309249984</v>
          </cell>
        </row>
        <row r="92">
          <cell r="I92">
            <v>2541.3980362537764</v>
          </cell>
        </row>
        <row r="114">
          <cell r="I114">
            <v>134.52000000000012</v>
          </cell>
        </row>
        <row r="125">
          <cell r="I125">
            <v>206.96978851963746</v>
          </cell>
        </row>
        <row r="147">
          <cell r="I147">
            <v>1334.5600895953439</v>
          </cell>
        </row>
        <row r="158">
          <cell r="I158">
            <v>2769.7583081570997</v>
          </cell>
        </row>
        <row r="180">
          <cell r="I180">
            <v>3645.9679150342436</v>
          </cell>
        </row>
        <row r="191">
          <cell r="I191">
            <v>3645.967915034239</v>
          </cell>
        </row>
        <row r="213">
          <cell r="I213">
            <v>3586.4038744707032</v>
          </cell>
        </row>
        <row r="224">
          <cell r="I224">
            <v>4221.2084592145011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27.102777575261157</v>
          </cell>
        </row>
        <row r="10982">
          <cell r="I10982">
            <v>0</v>
          </cell>
        </row>
        <row r="10993">
          <cell r="I10993">
            <v>18.862267123287701</v>
          </cell>
        </row>
        <row r="11004">
          <cell r="I11004">
            <v>0</v>
          </cell>
        </row>
        <row r="11015">
          <cell r="I11015">
            <v>141.61538107130494</v>
          </cell>
        </row>
        <row r="11026">
          <cell r="I11026">
            <v>36.411703703703694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36.857525494693554</v>
          </cell>
        </row>
        <row r="11081">
          <cell r="I11081">
            <v>0</v>
          </cell>
        </row>
        <row r="11092">
          <cell r="I11092">
            <v>8.4000000000000075</v>
          </cell>
        </row>
        <row r="11103">
          <cell r="I11103">
            <v>0</v>
          </cell>
        </row>
        <row r="11114">
          <cell r="I11114">
            <v>200.62816438356199</v>
          </cell>
        </row>
        <row r="11125">
          <cell r="I11125">
            <v>13.139726027397261</v>
          </cell>
        </row>
        <row r="11136">
          <cell r="I11136">
            <v>617.26384445688291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28.440339962009631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123.56347945205484</v>
          </cell>
        </row>
        <row r="11213">
          <cell r="I11213">
            <v>15.659901369862993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124.18688442547501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18.081570996978851</v>
          </cell>
        </row>
        <row r="26">
          <cell r="I26">
            <v>108.48942598187311</v>
          </cell>
        </row>
        <row r="48">
          <cell r="I48">
            <v>373.44864048338366</v>
          </cell>
        </row>
        <row r="59">
          <cell r="I59">
            <v>562.34592145015108</v>
          </cell>
        </row>
        <row r="81">
          <cell r="I81">
            <v>2335.2775904416158</v>
          </cell>
        </row>
        <row r="92">
          <cell r="I92">
            <v>2768.7960725075527</v>
          </cell>
        </row>
        <row r="114">
          <cell r="I114">
            <v>336.3</v>
          </cell>
        </row>
        <row r="125">
          <cell r="I125">
            <v>336.3</v>
          </cell>
        </row>
        <row r="147">
          <cell r="I147">
            <v>2751.1895770392748</v>
          </cell>
        </row>
        <row r="158">
          <cell r="I158">
            <v>2775.9478851963745</v>
          </cell>
        </row>
        <row r="180">
          <cell r="I180">
            <v>3645.9679150342404</v>
          </cell>
        </row>
        <row r="191">
          <cell r="I191">
            <v>3645.9679150342404</v>
          </cell>
        </row>
        <row r="213">
          <cell r="I213">
            <v>4055.3021148036255</v>
          </cell>
        </row>
        <row r="224">
          <cell r="I224">
            <v>4308.8722722231551</v>
          </cell>
        </row>
        <row r="257">
          <cell r="I257">
            <v>14223.844769725045</v>
          </cell>
        </row>
        <row r="10960">
          <cell r="I10960">
            <v>210.15886282457006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30.871867123287672</v>
          </cell>
        </row>
        <row r="11004">
          <cell r="I11004">
            <v>0</v>
          </cell>
        </row>
        <row r="11015">
          <cell r="I11015">
            <v>95.623380821917834</v>
          </cell>
        </row>
        <row r="11026">
          <cell r="I11026">
            <v>55.311703703703735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152.63600365296816</v>
          </cell>
        </row>
        <row r="11081">
          <cell r="I11081">
            <v>0</v>
          </cell>
        </row>
        <row r="11092">
          <cell r="I11092">
            <v>516.98058936963821</v>
          </cell>
        </row>
        <row r="11103">
          <cell r="I11103">
            <v>0</v>
          </cell>
        </row>
        <row r="11114">
          <cell r="I11114">
            <v>160.00603013698637</v>
          </cell>
        </row>
        <row r="11125">
          <cell r="I11125">
            <v>13.139726027397261</v>
          </cell>
        </row>
        <row r="11136">
          <cell r="I11136">
            <v>664.67468303556348</v>
          </cell>
        </row>
        <row r="11147">
          <cell r="I11147">
            <v>28.425679999999989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132.83947945205489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235.06042296072508</v>
          </cell>
        </row>
        <row r="26">
          <cell r="I26">
            <v>325.46827794561932</v>
          </cell>
        </row>
        <row r="48">
          <cell r="I48">
            <v>940.14048338368582</v>
          </cell>
        </row>
        <row r="59">
          <cell r="I59">
            <v>1129.037764350453</v>
          </cell>
        </row>
        <row r="81">
          <cell r="I81">
            <v>3678.3882175226586</v>
          </cell>
        </row>
        <row r="92">
          <cell r="I92">
            <v>4133.1842900302117</v>
          </cell>
        </row>
        <row r="114">
          <cell r="I114">
            <v>251.90181268882174</v>
          </cell>
        </row>
        <row r="125">
          <cell r="I125">
            <v>276.86404833836855</v>
          </cell>
        </row>
        <row r="147">
          <cell r="I147">
            <v>0</v>
          </cell>
        </row>
        <row r="158">
          <cell r="I158">
            <v>0</v>
          </cell>
        </row>
        <row r="180">
          <cell r="I180">
            <v>3645.9679150342408</v>
          </cell>
        </row>
        <row r="191">
          <cell r="I191">
            <v>3645.9679150342404</v>
          </cell>
        </row>
        <row r="213">
          <cell r="I213">
            <v>4764.8676874381781</v>
          </cell>
        </row>
        <row r="224">
          <cell r="I224">
            <v>4995.4380664652563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128.93821917808214</v>
          </cell>
        </row>
        <row r="11026">
          <cell r="I11026">
            <v>54.375885337392234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65.923002849315409</v>
          </cell>
        </row>
        <row r="11092">
          <cell r="I11092">
            <v>473.12008895373185</v>
          </cell>
        </row>
        <row r="11103">
          <cell r="I11103">
            <v>0</v>
          </cell>
        </row>
        <row r="11114">
          <cell r="I11114">
            <v>169.16858219178096</v>
          </cell>
        </row>
        <row r="11125">
          <cell r="I11125">
            <v>13.139726027397261</v>
          </cell>
        </row>
        <row r="11136">
          <cell r="I11136">
            <v>463.88394637218624</v>
          </cell>
        </row>
        <row r="11147">
          <cell r="I11147">
            <v>37.826272864658236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132.83947945205489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116.67598794520545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335</v>
          </cell>
        </row>
        <row r="26">
          <cell r="I26">
            <v>335</v>
          </cell>
        </row>
        <row r="48">
          <cell r="I48">
            <v>1176.2620845921449</v>
          </cell>
        </row>
        <row r="59">
          <cell r="I59">
            <v>1365.1593655589124</v>
          </cell>
        </row>
        <row r="81">
          <cell r="I81">
            <v>4246.8833081571001</v>
          </cell>
        </row>
        <row r="92">
          <cell r="I92">
            <v>4701.6793806646529</v>
          </cell>
        </row>
        <row r="114">
          <cell r="I114">
            <v>281.85649546827796</v>
          </cell>
        </row>
        <row r="125">
          <cell r="I125">
            <v>301.82628398791542</v>
          </cell>
        </row>
        <row r="147">
          <cell r="I147">
            <v>2862.6019637462236</v>
          </cell>
        </row>
        <row r="158">
          <cell r="I158">
            <v>2887.3602719033233</v>
          </cell>
        </row>
        <row r="180">
          <cell r="I180">
            <v>3645.9679150342413</v>
          </cell>
        </row>
        <row r="191">
          <cell r="I191">
            <v>3645.9679150342404</v>
          </cell>
        </row>
        <row r="213">
          <cell r="I213">
            <v>0</v>
          </cell>
        </row>
        <row r="224">
          <cell r="I224">
            <v>2236.7219170454373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0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5.4384440347946672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96.010799999999961</v>
          </cell>
        </row>
        <row r="11092">
          <cell r="I11092">
            <v>327.96684399063236</v>
          </cell>
        </row>
        <row r="11103">
          <cell r="I11103">
            <v>0</v>
          </cell>
        </row>
        <row r="11114">
          <cell r="I11114">
            <v>0</v>
          </cell>
        </row>
        <row r="11125">
          <cell r="I11125">
            <v>13.139726027397261</v>
          </cell>
        </row>
        <row r="11136">
          <cell r="I11136">
            <v>551.67286341760598</v>
          </cell>
        </row>
        <row r="11147">
          <cell r="I11147">
            <v>0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0</v>
          </cell>
        </row>
        <row r="11191">
          <cell r="I11191">
            <v>0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0</v>
          </cell>
        </row>
        <row r="11235">
          <cell r="I11235">
            <v>0</v>
          </cell>
        </row>
        <row r="11246">
          <cell r="I11246">
            <v>43.865056739539042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216.97885196374622</v>
          </cell>
        </row>
        <row r="26">
          <cell r="I26">
            <v>307.38670694864049</v>
          </cell>
        </row>
        <row r="48">
          <cell r="I48">
            <v>852.35097604135763</v>
          </cell>
        </row>
        <row r="59">
          <cell r="I59">
            <v>1081.8134441087614</v>
          </cell>
        </row>
        <row r="81">
          <cell r="I81">
            <v>1109.5950309249977</v>
          </cell>
        </row>
        <row r="92">
          <cell r="I92">
            <v>1370.1860309249992</v>
          </cell>
        </row>
        <row r="114">
          <cell r="I114">
            <v>246.90936555891238</v>
          </cell>
        </row>
        <row r="125">
          <cell r="I125">
            <v>271.8716012084592</v>
          </cell>
        </row>
        <row r="147">
          <cell r="I147">
            <v>2819.2749244712991</v>
          </cell>
        </row>
        <row r="158">
          <cell r="I158">
            <v>2850.2228096676736</v>
          </cell>
        </row>
        <row r="180">
          <cell r="I180">
            <v>3645.9679150342408</v>
          </cell>
        </row>
        <row r="191">
          <cell r="I191">
            <v>3645.9679150342404</v>
          </cell>
        </row>
        <row r="213">
          <cell r="I213">
            <v>4663.6253776435042</v>
          </cell>
        </row>
        <row r="224">
          <cell r="I224">
            <v>4940.1359516616312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83.038788229325164</v>
          </cell>
        </row>
        <row r="11026">
          <cell r="I11026">
            <v>57.135885337392196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74.010799999999989</v>
          </cell>
        </row>
        <row r="11092">
          <cell r="I11092">
            <v>538.92519501284426</v>
          </cell>
        </row>
        <row r="11103">
          <cell r="I11103">
            <v>0</v>
          </cell>
        </row>
        <row r="11114">
          <cell r="I11114">
            <v>151.25702440177375</v>
          </cell>
        </row>
        <row r="11125">
          <cell r="I11125">
            <v>13.139726027397261</v>
          </cell>
        </row>
        <row r="11136">
          <cell r="I11136">
            <v>560.45128244405294</v>
          </cell>
        </row>
        <row r="11147">
          <cell r="I11147">
            <v>60.625680000000031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132.83947945205489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3634.4059167567534</v>
          </cell>
        </row>
        <row r="92">
          <cell r="I92">
            <v>4348.29054054054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6165.6596571428563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25.597939726027363</v>
          </cell>
        </row>
        <row r="10993">
          <cell r="I10993">
            <v>37.292232876712305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514.18479855785586</v>
          </cell>
        </row>
        <row r="11103">
          <cell r="I11103">
            <v>0</v>
          </cell>
        </row>
        <row r="11114">
          <cell r="I11114">
            <v>215.30191995557422</v>
          </cell>
        </row>
        <row r="11125">
          <cell r="I11125">
            <v>13.139726027397261</v>
          </cell>
        </row>
        <row r="11136">
          <cell r="I11136">
            <v>891.22487487949365</v>
          </cell>
        </row>
        <row r="11147">
          <cell r="I11147">
            <v>78.452079999999924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137.79638316179151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0</v>
          </cell>
        </row>
        <row r="26">
          <cell r="I26">
            <v>0</v>
          </cell>
        </row>
        <row r="48">
          <cell r="I48">
            <v>373.44864048338366</v>
          </cell>
        </row>
        <row r="59">
          <cell r="I59">
            <v>609.57024169184285</v>
          </cell>
        </row>
        <row r="81">
          <cell r="I81">
            <v>2402.4798475590173</v>
          </cell>
        </row>
        <row r="92">
          <cell r="I92">
            <v>2882.4950906344411</v>
          </cell>
        </row>
        <row r="114">
          <cell r="I114">
            <v>196.98489425981873</v>
          </cell>
        </row>
        <row r="125">
          <cell r="I125">
            <v>221.94712990936554</v>
          </cell>
        </row>
        <row r="147">
          <cell r="I147">
            <v>2757.3791540785501</v>
          </cell>
        </row>
        <row r="158">
          <cell r="I158">
            <v>2788.3270392749246</v>
          </cell>
        </row>
        <row r="180">
          <cell r="I180">
            <v>3645.9679150342422</v>
          </cell>
        </row>
        <row r="191">
          <cell r="I191">
            <v>3645.9679150342404</v>
          </cell>
        </row>
        <row r="213">
          <cell r="I213">
            <v>4110.604229607251</v>
          </cell>
        </row>
        <row r="224">
          <cell r="I224">
            <v>4387.1148036253771</v>
          </cell>
        </row>
        <row r="257">
          <cell r="I257">
            <v>14223.844769725045</v>
          </cell>
        </row>
        <row r="10960">
          <cell r="I10960">
            <v>206.34286575342483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95.623380821917692</v>
          </cell>
        </row>
        <row r="11026">
          <cell r="I11026">
            <v>45.581561237950361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13.510457117402126</v>
          </cell>
        </row>
        <row r="11092">
          <cell r="I11092">
            <v>558.36568354242013</v>
          </cell>
        </row>
        <row r="11103">
          <cell r="I11103">
            <v>0</v>
          </cell>
        </row>
        <row r="11114">
          <cell r="I11114">
            <v>155.02816438356157</v>
          </cell>
        </row>
        <row r="11125">
          <cell r="I11125">
            <v>13.139726027397261</v>
          </cell>
        </row>
        <row r="11136">
          <cell r="I11136">
            <v>573.28252661045155</v>
          </cell>
        </row>
        <row r="11147">
          <cell r="I11147">
            <v>28.425680000000003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132.83947945205477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72.326283987915403</v>
          </cell>
        </row>
        <row r="26">
          <cell r="I26">
            <v>155.6</v>
          </cell>
        </row>
        <row r="48">
          <cell r="I48">
            <v>0</v>
          </cell>
        </row>
        <row r="59">
          <cell r="I59">
            <v>0</v>
          </cell>
        </row>
        <row r="81">
          <cell r="I81">
            <v>2708.7262309249995</v>
          </cell>
        </row>
        <row r="92">
          <cell r="I92">
            <v>3109.8931268882175</v>
          </cell>
        </row>
        <row r="114">
          <cell r="I114">
            <v>206.96978851963746</v>
          </cell>
        </row>
        <row r="125">
          <cell r="I125">
            <v>226.93957703927492</v>
          </cell>
        </row>
        <row r="147">
          <cell r="I147">
            <v>2769.7583081570997</v>
          </cell>
        </row>
        <row r="158">
          <cell r="I158">
            <v>2794.5166163141994</v>
          </cell>
        </row>
        <row r="180">
          <cell r="I180">
            <v>3645.9679150342399</v>
          </cell>
        </row>
        <row r="191">
          <cell r="I191">
            <v>3645.9679150342404</v>
          </cell>
        </row>
        <row r="213">
          <cell r="I213">
            <v>4221.2084592145011</v>
          </cell>
        </row>
        <row r="224">
          <cell r="I224">
            <v>4464.4126800781405</v>
          </cell>
        </row>
        <row r="257">
          <cell r="I257">
            <v>14223.844769725045</v>
          </cell>
        </row>
        <row r="10960">
          <cell r="I10960">
            <v>122.54386004148591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4.0497328767123246</v>
          </cell>
        </row>
        <row r="11004">
          <cell r="I11004">
            <v>0</v>
          </cell>
        </row>
        <row r="11015">
          <cell r="I11015">
            <v>99.743844068102888</v>
          </cell>
        </row>
        <row r="11026">
          <cell r="I11026">
            <v>55.688635210553009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110.20109961618491</v>
          </cell>
        </row>
        <row r="11081">
          <cell r="I11081">
            <v>42.434904036783138</v>
          </cell>
        </row>
        <row r="11092">
          <cell r="I11092">
            <v>674.22706000151959</v>
          </cell>
        </row>
        <row r="11103">
          <cell r="I11103">
            <v>0</v>
          </cell>
        </row>
        <row r="11114">
          <cell r="I11114">
            <v>158.46318630136986</v>
          </cell>
        </row>
        <row r="11125">
          <cell r="I11125">
            <v>13.139726027397261</v>
          </cell>
        </row>
        <row r="11136">
          <cell r="I11136">
            <v>728.30037555520096</v>
          </cell>
        </row>
        <row r="11147">
          <cell r="I11147">
            <v>28.425679999999961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132.83947945205483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54.244712990936556</v>
          </cell>
        </row>
        <row r="26">
          <cell r="I26">
            <v>126.57099697885197</v>
          </cell>
        </row>
        <row r="48">
          <cell r="I48">
            <v>420.67296072507554</v>
          </cell>
        </row>
        <row r="59">
          <cell r="I59">
            <v>656.79456193353474</v>
          </cell>
        </row>
        <row r="81">
          <cell r="I81">
            <v>2427.6990181268884</v>
          </cell>
        </row>
        <row r="92">
          <cell r="I92">
            <v>2939.4519019396921</v>
          </cell>
        </row>
        <row r="114">
          <cell r="I114">
            <v>0</v>
          </cell>
        </row>
        <row r="125">
          <cell r="I125">
            <v>0</v>
          </cell>
        </row>
        <row r="147">
          <cell r="I147">
            <v>2763.5687311178249</v>
          </cell>
        </row>
        <row r="158">
          <cell r="I158">
            <v>2788.3270392749246</v>
          </cell>
        </row>
        <row r="180">
          <cell r="I180">
            <v>3645.9679150342417</v>
          </cell>
        </row>
        <row r="191">
          <cell r="I191">
            <v>3645.9679150342404</v>
          </cell>
        </row>
        <row r="213">
          <cell r="I213">
            <v>4165.906344410876</v>
          </cell>
        </row>
        <row r="224">
          <cell r="I224">
            <v>4387.1148036253771</v>
          </cell>
        </row>
        <row r="257">
          <cell r="I257">
            <v>14223.844769725045</v>
          </cell>
        </row>
        <row r="10960">
          <cell r="I10960">
            <v>206.34286575342449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95.623380821917735</v>
          </cell>
        </row>
        <row r="11026">
          <cell r="I11026">
            <v>55.311703703703671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69.980987201889377</v>
          </cell>
        </row>
        <row r="11092">
          <cell r="I11092">
            <v>561.01056093515126</v>
          </cell>
        </row>
        <row r="11103">
          <cell r="I11103">
            <v>0</v>
          </cell>
        </row>
        <row r="11114">
          <cell r="I11114">
            <v>158.46318630136977</v>
          </cell>
        </row>
        <row r="11125">
          <cell r="I11125">
            <v>13.139726027397261</v>
          </cell>
        </row>
        <row r="11136">
          <cell r="I11136">
            <v>501.10709859900157</v>
          </cell>
        </row>
        <row r="11147">
          <cell r="I11147">
            <v>28.425679999999982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100.66191232876722</v>
          </cell>
        </row>
        <row r="11191">
          <cell r="I11191">
            <v>0</v>
          </cell>
        </row>
        <row r="11202">
          <cell r="I11202">
            <v>132.83947945205483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257">
          <cell r="I257">
            <v>6165.6596571428636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34.306767123287671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541.59200769329459</v>
          </cell>
        </row>
        <row r="11103">
          <cell r="I11103">
            <v>0</v>
          </cell>
        </row>
        <row r="11114">
          <cell r="I11114">
            <v>164.1192301369862</v>
          </cell>
        </row>
        <row r="11125">
          <cell r="I11125">
            <v>13.139726027397261</v>
          </cell>
        </row>
        <row r="11136">
          <cell r="I11136">
            <v>829.46207931171477</v>
          </cell>
        </row>
        <row r="11147">
          <cell r="I11147">
            <v>78.452079999999924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5.4454000000000136</v>
          </cell>
        </row>
        <row r="11202">
          <cell r="I11202">
            <v>76.810216438356221</v>
          </cell>
        </row>
        <row r="11213">
          <cell r="I11213">
            <v>3.4549610958904093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79.783214754130952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3643.1983040059217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6165.6637714285698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25.597939726027349</v>
          </cell>
        </row>
        <row r="10993">
          <cell r="I10993">
            <v>32.361295890411071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510.10012556611656</v>
          </cell>
        </row>
        <row r="11103">
          <cell r="I11103">
            <v>0</v>
          </cell>
        </row>
        <row r="11114">
          <cell r="I11114">
            <v>220.23346849315075</v>
          </cell>
        </row>
        <row r="11125">
          <cell r="I11125">
            <v>13.139726027397261</v>
          </cell>
        </row>
        <row r="11136">
          <cell r="I11136">
            <v>889.32737430958844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96.003215857091874</v>
          </cell>
        </row>
        <row r="11213">
          <cell r="I11213">
            <v>3.454961095890428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328.278.403,45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231.08108108108104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114">
          <cell r="I114">
            <v>257.18339768339769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3260.3465250965269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4744.6239796815944</v>
          </cell>
        </row>
        <row r="224">
          <cell r="I224">
            <v>5060.135135135135</v>
          </cell>
        </row>
        <row r="257">
          <cell r="I257">
            <v>6165.663771428568</v>
          </cell>
        </row>
        <row r="10960">
          <cell r="I10960">
            <v>169.69158837333941</v>
          </cell>
        </row>
        <row r="10971">
          <cell r="I10971">
            <v>42.493150684931507</v>
          </cell>
        </row>
        <row r="10982">
          <cell r="I10982">
            <v>26.883863426027354</v>
          </cell>
        </row>
        <row r="10993">
          <cell r="I10993">
            <v>34.306767123287706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473.35296634360873</v>
          </cell>
        </row>
        <row r="11103">
          <cell r="I11103">
            <v>0</v>
          </cell>
        </row>
        <row r="11114">
          <cell r="I11114">
            <v>205.03346849315068</v>
          </cell>
        </row>
        <row r="11125">
          <cell r="I11125">
            <v>13.139726027397261</v>
          </cell>
        </row>
        <row r="11136">
          <cell r="I11136">
            <v>827.35623472505506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134.85667513746699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314.043.115,53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184.86486486486484</v>
          </cell>
        </row>
        <row r="26">
          <cell r="I26">
            <v>264</v>
          </cell>
        </row>
        <row r="48">
          <cell r="I48">
            <v>761.81853281853284</v>
          </cell>
        </row>
        <row r="59">
          <cell r="I59">
            <v>1026.5700000000002</v>
          </cell>
        </row>
        <row r="81">
          <cell r="I81">
            <v>3185.8388030888032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5176.8000000000029</v>
          </cell>
        </row>
        <row r="224">
          <cell r="I224">
            <v>6327.2000000000007</v>
          </cell>
        </row>
        <row r="257">
          <cell r="I257">
            <v>6165.6637714286026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36.174567123287702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121.68690561675407</v>
          </cell>
        </row>
        <row r="11081">
          <cell r="I11081">
            <v>67.006479999999982</v>
          </cell>
        </row>
        <row r="11092">
          <cell r="I11092">
            <v>543.58048442151426</v>
          </cell>
        </row>
        <row r="11103">
          <cell r="I11103">
            <v>0</v>
          </cell>
        </row>
        <row r="11114">
          <cell r="I11114">
            <v>100.59346849315051</v>
          </cell>
        </row>
        <row r="11125">
          <cell r="I11125">
            <v>13.139726027397261</v>
          </cell>
        </row>
        <row r="11136">
          <cell r="I11136">
            <v>759.74411040072926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301.673.061,38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46.21621621621621</v>
          </cell>
        </row>
        <row r="26">
          <cell r="I26">
            <v>158.39999999999998</v>
          </cell>
        </row>
        <row r="48">
          <cell r="I48">
            <v>399.70463320463318</v>
          </cell>
        </row>
        <row r="59">
          <cell r="I59">
            <v>641.11389961389966</v>
          </cell>
        </row>
        <row r="81">
          <cell r="I81">
            <v>5044.5000000000236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2760.8204633204632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4141.3513513513517</v>
          </cell>
        </row>
        <row r="224">
          <cell r="I224">
            <v>4461.4943117279054</v>
          </cell>
        </row>
        <row r="257">
          <cell r="I257">
            <v>6165.6637714285716</v>
          </cell>
        </row>
        <row r="10960">
          <cell r="I10960">
            <v>132.49812639073053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663.41313295273096</v>
          </cell>
        </row>
        <row r="11103">
          <cell r="I11103">
            <v>0</v>
          </cell>
        </row>
        <row r="11114">
          <cell r="I11114">
            <v>191.49376438356171</v>
          </cell>
        </row>
        <row r="11125">
          <cell r="I11125">
            <v>13.139726027397261</v>
          </cell>
        </row>
        <row r="11136">
          <cell r="I11136">
            <v>680.12565021703028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5.1016000000000368</v>
          </cell>
        </row>
        <row r="11202">
          <cell r="I11202">
            <v>151.75416297774601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23.315240000000045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304.227.476,63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3627.0071843148016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6165.6637714285789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24.487708459831374</v>
          </cell>
        </row>
        <row r="10993">
          <cell r="I10993">
            <v>37.292232876712305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510.02155384358593</v>
          </cell>
        </row>
        <row r="11103">
          <cell r="I11103">
            <v>0</v>
          </cell>
        </row>
        <row r="11114">
          <cell r="I11114">
            <v>215.30253150684945</v>
          </cell>
        </row>
        <row r="11125">
          <cell r="I11125">
            <v>13.139726027397261</v>
          </cell>
        </row>
        <row r="11136">
          <cell r="I11136">
            <v>889.40594603211969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82.486216438356081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326.971.960,66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207.97297297297294</v>
          </cell>
        </row>
        <row r="26">
          <cell r="I26">
            <v>264</v>
          </cell>
        </row>
        <row r="48">
          <cell r="I48">
            <v>1509.0500000000009</v>
          </cell>
        </row>
        <row r="59">
          <cell r="I59">
            <v>1710.9500000000003</v>
          </cell>
        </row>
        <row r="81">
          <cell r="I81">
            <v>3408.2441843148013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6165.6637714285725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5.7375252760273323</v>
          </cell>
        </row>
        <row r="10993">
          <cell r="I10993">
            <v>34.306767123287663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617.65673094529507</v>
          </cell>
        </row>
        <row r="11103">
          <cell r="I11103">
            <v>0</v>
          </cell>
        </row>
        <row r="11114">
          <cell r="I11114">
            <v>205.03346849315068</v>
          </cell>
        </row>
        <row r="11125">
          <cell r="I11125">
            <v>13.139726027397261</v>
          </cell>
        </row>
        <row r="11136">
          <cell r="I11136">
            <v>765.67200278063137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63.287671232876718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124.82212697149403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320.665.240,17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207.97297297297294</v>
          </cell>
        </row>
        <row r="26">
          <cell r="I26">
            <v>264</v>
          </cell>
        </row>
        <row r="48">
          <cell r="I48">
            <v>1509.0500000000004</v>
          </cell>
        </row>
        <row r="59">
          <cell r="I59">
            <v>1710.95</v>
          </cell>
        </row>
        <row r="81">
          <cell r="I81">
            <v>3348.7756078764437</v>
          </cell>
        </row>
        <row r="92">
          <cell r="I92">
            <v>4057.6776061776059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6165.659657142869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26.883863426027332</v>
          </cell>
        </row>
        <row r="10993">
          <cell r="I10993">
            <v>34.306767123287671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549.52829909063291</v>
          </cell>
        </row>
        <row r="11103">
          <cell r="I11103">
            <v>0</v>
          </cell>
        </row>
        <row r="11114">
          <cell r="I11114">
            <v>205.03346849315079</v>
          </cell>
        </row>
        <row r="11125">
          <cell r="I11125">
            <v>13.139726027397261</v>
          </cell>
        </row>
        <row r="11136">
          <cell r="I11136">
            <v>851.06320278063231</v>
          </cell>
        </row>
        <row r="11147">
          <cell r="I11147">
            <v>80.48787711451331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146.77918356164383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114">
          <cell r="I114">
            <v>335.69999999999987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5086.8715665541831</v>
          </cell>
        </row>
        <row r="257">
          <cell r="I257">
            <v>6165.6637714285789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24.774767862696706</v>
          </cell>
        </row>
        <row r="10993">
          <cell r="I10993">
            <v>34.306767123287656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530.73466577370311</v>
          </cell>
        </row>
        <row r="11103">
          <cell r="I11103">
            <v>0</v>
          </cell>
        </row>
        <row r="11114">
          <cell r="I11114">
            <v>205.03346849315076</v>
          </cell>
        </row>
        <row r="11125">
          <cell r="I11125">
            <v>13.139726027397261</v>
          </cell>
        </row>
        <row r="11136">
          <cell r="I11136">
            <v>845.67761696443745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115.19308928174948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326.700.116,43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2745.0000000000018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6165.6637714285343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25.597939726027334</v>
          </cell>
        </row>
        <row r="10993">
          <cell r="I10993">
            <v>37.292232876712305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572.19604151972499</v>
          </cell>
        </row>
        <row r="11103">
          <cell r="I11103">
            <v>0</v>
          </cell>
        </row>
        <row r="11114">
          <cell r="I11114">
            <v>215.3025315068495</v>
          </cell>
        </row>
        <row r="11125">
          <cell r="I11125">
            <v>13.139726027397261</v>
          </cell>
        </row>
        <row r="11136">
          <cell r="I11136">
            <v>891.22487487949354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141.10318356164368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341.198.003,27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264</v>
          </cell>
        </row>
        <row r="26">
          <cell r="I26">
            <v>264</v>
          </cell>
        </row>
        <row r="48">
          <cell r="I48">
            <v>1200.7121392697575</v>
          </cell>
        </row>
        <row r="59">
          <cell r="I59">
            <v>1486.0463320463321</v>
          </cell>
        </row>
        <row r="81">
          <cell r="I81">
            <v>4348.29054054054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6165.6637714285789</v>
          </cell>
        </row>
        <row r="10960">
          <cell r="I10960">
            <v>202.93231928874769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34.306767123287699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611.60493951274907</v>
          </cell>
        </row>
        <row r="11103">
          <cell r="I11103">
            <v>0</v>
          </cell>
        </row>
        <row r="11114">
          <cell r="I11114">
            <v>244.04223561643835</v>
          </cell>
        </row>
        <row r="11125">
          <cell r="I11125">
            <v>13.139726027397261</v>
          </cell>
        </row>
        <row r="11136">
          <cell r="I11136">
            <v>881.85444199362303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349.021.238,48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264</v>
          </cell>
        </row>
        <row r="26">
          <cell r="I26">
            <v>264</v>
          </cell>
        </row>
        <row r="48">
          <cell r="I48">
            <v>1425.6940154440153</v>
          </cell>
        </row>
        <row r="59">
          <cell r="I59">
            <v>1710.95</v>
          </cell>
        </row>
        <row r="81">
          <cell r="I81">
            <v>2314</v>
          </cell>
        </row>
        <row r="114">
          <cell r="I114">
            <v>308.22586872586874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3252.4362934362944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5176.8</v>
          </cell>
        </row>
        <row r="224">
          <cell r="I224">
            <v>6327.2000000000007</v>
          </cell>
        </row>
        <row r="257">
          <cell r="I257">
            <v>6165.6637714285416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36.174567123287666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45.409958913852009</v>
          </cell>
        </row>
        <row r="11092">
          <cell r="I11092">
            <v>628.93314755663494</v>
          </cell>
        </row>
        <row r="11103">
          <cell r="I11103">
            <v>0</v>
          </cell>
        </row>
        <row r="11114">
          <cell r="I11114">
            <v>100.59346849315065</v>
          </cell>
        </row>
        <row r="11125">
          <cell r="I11125">
            <v>13.139726027397261</v>
          </cell>
        </row>
        <row r="11136">
          <cell r="I11136">
            <v>801.10457340526898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104.76028767123266</v>
          </cell>
        </row>
        <row r="11191">
          <cell r="I11191">
            <v>5.4454000000000047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83.231199077015489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343.462.380,25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0</v>
          </cell>
        </row>
        <row r="26">
          <cell r="I26">
            <v>0</v>
          </cell>
        </row>
        <row r="48">
          <cell r="I48">
            <v>1021.9594043920229</v>
          </cell>
        </row>
        <row r="59">
          <cell r="I59">
            <v>1304.9893822393822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6165.6637714285607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19.921939726027325</v>
          </cell>
        </row>
        <row r="10993">
          <cell r="I10993">
            <v>32.361295890411014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399.1867895525628</v>
          </cell>
        </row>
        <row r="11103">
          <cell r="I11103">
            <v>0</v>
          </cell>
        </row>
        <row r="11114">
          <cell r="I11114">
            <v>220.2334684931507</v>
          </cell>
        </row>
        <row r="11125">
          <cell r="I11125">
            <v>13.139726027397261</v>
          </cell>
        </row>
        <row r="11136">
          <cell r="I11136">
            <v>920.60718988170413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140.06050561360013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328.843.672,98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264</v>
          </cell>
        </row>
        <row r="26">
          <cell r="I26">
            <v>264</v>
          </cell>
        </row>
        <row r="48">
          <cell r="I48">
            <v>279</v>
          </cell>
        </row>
        <row r="59">
          <cell r="I59">
            <v>329.29359716859716</v>
          </cell>
        </row>
        <row r="81">
          <cell r="I81">
            <v>4202.9840733590736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6165.6637714285807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19.921939726027375</v>
          </cell>
        </row>
        <row r="10993">
          <cell r="I10993">
            <v>34.289432876712297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592.55110339653038</v>
          </cell>
        </row>
        <row r="11103">
          <cell r="I11103">
            <v>0</v>
          </cell>
        </row>
        <row r="11114">
          <cell r="I11114">
            <v>218.65376438356151</v>
          </cell>
        </row>
        <row r="11125">
          <cell r="I11125">
            <v>13.139726027397261</v>
          </cell>
        </row>
        <row r="11136">
          <cell r="I11136">
            <v>932.03441101400722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146.77918356164389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331.277.679,49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187</v>
          </cell>
        </row>
        <row r="125">
          <cell r="I125">
            <v>187.00000000000028</v>
          </cell>
        </row>
        <row r="147">
          <cell r="I147">
            <v>2839.9227799227801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4817.9241727317885</v>
          </cell>
        </row>
        <row r="224">
          <cell r="I224">
            <v>5130.8108108108108</v>
          </cell>
        </row>
        <row r="257">
          <cell r="I257">
            <v>6165.6637714285662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19.92193972602734</v>
          </cell>
        </row>
        <row r="10993">
          <cell r="I10993">
            <v>37.292232876712312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536.00948544297444</v>
          </cell>
        </row>
        <row r="11103">
          <cell r="I11103">
            <v>0</v>
          </cell>
        </row>
        <row r="11114">
          <cell r="I11114">
            <v>215.30253150684939</v>
          </cell>
        </row>
        <row r="11125">
          <cell r="I11125">
            <v>13.139726027397261</v>
          </cell>
        </row>
        <row r="11136">
          <cell r="I11136">
            <v>925.01121621831635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142.17095615644735</v>
          </cell>
        </row>
        <row r="11213">
          <cell r="I11213">
            <v>3.4549610958904129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47.021.289,99</v>
          </cell>
          <cell r="K2" t="str">
            <v>329.247.499,53</v>
          </cell>
          <cell r="N2" t="str">
            <v>71.928.700,54</v>
          </cell>
        </row>
      </sheetData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2782.0825613293027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14299.710171428582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34.209767123287669</v>
          </cell>
        </row>
        <row r="11004">
          <cell r="I11004">
            <v>0</v>
          </cell>
        </row>
        <row r="11015">
          <cell r="I11015">
            <v>159.61600525762572</v>
          </cell>
        </row>
        <row r="11026">
          <cell r="I11026">
            <v>51.881635210553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71.89591620101163</v>
          </cell>
        </row>
        <row r="11081">
          <cell r="I11081">
            <v>55.263576469221768</v>
          </cell>
        </row>
        <row r="11092">
          <cell r="I11092">
            <v>467.20694629301607</v>
          </cell>
        </row>
        <row r="11103">
          <cell r="I11103">
            <v>0</v>
          </cell>
        </row>
        <row r="11114">
          <cell r="I11114">
            <v>172.37244437486822</v>
          </cell>
        </row>
        <row r="11125">
          <cell r="I11125">
            <v>13.139726027397261</v>
          </cell>
        </row>
        <row r="11136">
          <cell r="I11136">
            <v>646.41909489957345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89.29834786284998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340.612.833,09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704.01888217522651</v>
          </cell>
        </row>
        <row r="81">
          <cell r="I81">
            <v>2655.0970543806648</v>
          </cell>
        </row>
        <row r="114">
          <cell r="I114">
            <v>206.96978851963746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3247.4714879154053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4225.0802954682786</v>
          </cell>
        </row>
        <row r="224">
          <cell r="I224">
            <v>4497.7190332326281</v>
          </cell>
        </row>
        <row r="257">
          <cell r="I257">
            <v>14299.710171428578</v>
          </cell>
        </row>
        <row r="10960">
          <cell r="I10960">
            <v>191.15850658969609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32.306767123287678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133.99319634703198</v>
          </cell>
        </row>
        <row r="11081">
          <cell r="I11081">
            <v>67.010799999999946</v>
          </cell>
        </row>
        <row r="11092">
          <cell r="I11092">
            <v>292.58154101683607</v>
          </cell>
        </row>
        <row r="11103">
          <cell r="I11103">
            <v>0</v>
          </cell>
        </row>
        <row r="11114">
          <cell r="I11114">
            <v>195.40983561643836</v>
          </cell>
        </row>
        <row r="11125">
          <cell r="I11125">
            <v>13.139726027397261</v>
          </cell>
        </row>
        <row r="11136">
          <cell r="I11136">
            <v>538.72777112599874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99.872228959152579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323.068.495,68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2314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5175.1699395770393</v>
          </cell>
        </row>
        <row r="224">
          <cell r="I224">
            <v>6301.8038604229405</v>
          </cell>
        </row>
        <row r="257">
          <cell r="I257">
            <v>14299.710171428573</v>
          </cell>
        </row>
        <row r="10960">
          <cell r="I10960">
            <v>144.10218658839665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30.401013698630148</v>
          </cell>
        </row>
        <row r="11004">
          <cell r="I11004">
            <v>0</v>
          </cell>
        </row>
        <row r="11015">
          <cell r="I11015">
            <v>139.95142465753401</v>
          </cell>
        </row>
        <row r="11026">
          <cell r="I11026">
            <v>49.39888533739218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124.61153691492703</v>
          </cell>
        </row>
        <row r="11092">
          <cell r="I11092">
            <v>326.0074370158307</v>
          </cell>
        </row>
        <row r="11103">
          <cell r="I11103">
            <v>0</v>
          </cell>
        </row>
        <row r="11114">
          <cell r="I11114">
            <v>67.161068493150793</v>
          </cell>
        </row>
        <row r="11125">
          <cell r="I11125">
            <v>13.139726027397261</v>
          </cell>
        </row>
        <row r="11136">
          <cell r="I11136">
            <v>723.86418303556491</v>
          </cell>
        </row>
        <row r="11147">
          <cell r="I11147">
            <v>138.17315999999994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0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309.952.573,50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254.18918918918914</v>
          </cell>
        </row>
        <row r="26">
          <cell r="I26">
            <v>264</v>
          </cell>
        </row>
        <row r="48">
          <cell r="I48">
            <v>942.87548262548262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92">
          <cell r="I92">
            <v>4348.29054054054</v>
          </cell>
        </row>
        <row r="114">
          <cell r="I114">
            <v>335.69999999999982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5087.8899901158284</v>
          </cell>
        </row>
        <row r="257">
          <cell r="I257">
            <v>6165.6596571428436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34.306767123287671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525.7709157737047</v>
          </cell>
        </row>
        <row r="11103">
          <cell r="I11103">
            <v>0</v>
          </cell>
        </row>
        <row r="11114">
          <cell r="I11114">
            <v>205.03346849315068</v>
          </cell>
        </row>
        <row r="11125">
          <cell r="I11125">
            <v>13.139726027397261</v>
          </cell>
        </row>
        <row r="11136">
          <cell r="I11136">
            <v>845.67761696443552</v>
          </cell>
        </row>
        <row r="11147">
          <cell r="I11147">
            <v>89.841196185541918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3735.2377265861028</v>
          </cell>
        </row>
        <row r="114">
          <cell r="I114">
            <v>187</v>
          </cell>
        </row>
        <row r="125">
          <cell r="I125">
            <v>187.00000000000023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4000</v>
          </cell>
        </row>
        <row r="224">
          <cell r="I224">
            <v>4000.0000000000036</v>
          </cell>
        </row>
        <row r="257">
          <cell r="I257">
            <v>14299.710171428575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32.306767123287699</v>
          </cell>
        </row>
        <row r="11004">
          <cell r="I11004">
            <v>0</v>
          </cell>
        </row>
        <row r="11015">
          <cell r="I11015">
            <v>148.15821917808228</v>
          </cell>
        </row>
        <row r="11026">
          <cell r="I11026">
            <v>51.881635210552986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144.58780365296798</v>
          </cell>
        </row>
        <row r="11081">
          <cell r="I11081">
            <v>65.308200000000056</v>
          </cell>
        </row>
        <row r="11092">
          <cell r="I11092">
            <v>226.40687605523379</v>
          </cell>
        </row>
        <row r="11103">
          <cell r="I11103">
            <v>0</v>
          </cell>
        </row>
        <row r="11114">
          <cell r="I11114">
            <v>195.40983561643833</v>
          </cell>
        </row>
        <row r="11125">
          <cell r="I11125">
            <v>13.139726027397261</v>
          </cell>
        </row>
        <row r="11136">
          <cell r="I11136">
            <v>725.09852399611827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318.116.350,41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264</v>
          </cell>
        </row>
        <row r="26">
          <cell r="I26">
            <v>264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4552.8608845921417</v>
          </cell>
        </row>
        <row r="257">
          <cell r="I257">
            <v>14299.710171428584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144.58953616221191</v>
          </cell>
        </row>
        <row r="11081">
          <cell r="I11081">
            <v>22.010799999999978</v>
          </cell>
        </row>
        <row r="11092">
          <cell r="I11092">
            <v>434.10219663072502</v>
          </cell>
        </row>
        <row r="11103">
          <cell r="I11103">
            <v>0</v>
          </cell>
        </row>
        <row r="11114">
          <cell r="I11114">
            <v>195.4098356164385</v>
          </cell>
        </row>
        <row r="11125">
          <cell r="I11125">
            <v>13.139726027397261</v>
          </cell>
        </row>
        <row r="11136">
          <cell r="I11136">
            <v>588.79195279525186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53.814383561643872</v>
          </cell>
        </row>
        <row r="11213">
          <cell r="I11213">
            <v>8.9981858188169337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339.102.521,42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18.081570996978851</v>
          </cell>
        </row>
        <row r="26">
          <cell r="I26">
            <v>90.407854984894257</v>
          </cell>
        </row>
        <row r="48">
          <cell r="I48">
            <v>1509.0499999999975</v>
          </cell>
        </row>
        <row r="59">
          <cell r="I59">
            <v>1710.95</v>
          </cell>
        </row>
        <row r="81">
          <cell r="I81">
            <v>2314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2745</v>
          </cell>
        </row>
        <row r="158">
          <cell r="I158">
            <v>2775.9478851963745</v>
          </cell>
        </row>
        <row r="180">
          <cell r="I180">
            <v>3063</v>
          </cell>
        </row>
        <row r="191">
          <cell r="I191">
            <v>3063</v>
          </cell>
        </row>
        <row r="213">
          <cell r="I213">
            <v>4027.9741776435053</v>
          </cell>
        </row>
        <row r="224">
          <cell r="I224">
            <v>4276.510574018127</v>
          </cell>
        </row>
        <row r="257">
          <cell r="I257">
            <v>14299.710171428571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32.306767123287656</v>
          </cell>
        </row>
        <row r="11004">
          <cell r="I11004">
            <v>0</v>
          </cell>
        </row>
        <row r="11015">
          <cell r="I11015">
            <v>129.71325897986219</v>
          </cell>
        </row>
        <row r="11026">
          <cell r="I11026">
            <v>49.398885337392187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66.895581481155219</v>
          </cell>
        </row>
        <row r="11092">
          <cell r="I11092">
            <v>440.86348138001017</v>
          </cell>
        </row>
        <row r="11103">
          <cell r="I11103">
            <v>0</v>
          </cell>
        </row>
        <row r="11114">
          <cell r="I11114">
            <v>195.40983561643839</v>
          </cell>
        </row>
        <row r="11125">
          <cell r="I11125">
            <v>13.139726027397261</v>
          </cell>
        </row>
        <row r="11136">
          <cell r="I11136">
            <v>513.22452824664447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156.01438356164374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29.137416509712402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333.061.767,19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90.407854984894257</v>
          </cell>
        </row>
        <row r="26">
          <cell r="I26">
            <v>180.81570996978851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2677.4179087613279</v>
          </cell>
        </row>
        <row r="114">
          <cell r="I114">
            <v>335.70000000000016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14299.710171428585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51.881635210552986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152.08780365296803</v>
          </cell>
        </row>
        <row r="11081">
          <cell r="I11081">
            <v>8.162692025856467</v>
          </cell>
        </row>
        <row r="11092">
          <cell r="I11092">
            <v>434.26246007483616</v>
          </cell>
        </row>
        <row r="11103">
          <cell r="I11103">
            <v>0</v>
          </cell>
        </row>
        <row r="11114">
          <cell r="I11114">
            <v>195.40983561643833</v>
          </cell>
        </row>
        <row r="11125">
          <cell r="I11125">
            <v>13.139726027397261</v>
          </cell>
        </row>
        <row r="11136">
          <cell r="I11136">
            <v>567.60826699464951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53.814383561643808</v>
          </cell>
        </row>
        <row r="11213">
          <cell r="I11213">
            <v>8.8379223747046272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338.855.372,42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34.209767123287683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51.881635210553014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94.493196347031954</v>
          </cell>
        </row>
        <row r="11081">
          <cell r="I11081">
            <v>32.666296323201315</v>
          </cell>
        </row>
        <row r="11092">
          <cell r="I11092">
            <v>430.57464173688248</v>
          </cell>
        </row>
        <row r="11103">
          <cell r="I11103">
            <v>0</v>
          </cell>
        </row>
        <row r="11114">
          <cell r="I11114">
            <v>172.37244437486828</v>
          </cell>
        </row>
        <row r="11125">
          <cell r="I11125">
            <v>13.139726027397261</v>
          </cell>
        </row>
        <row r="11136">
          <cell r="I11136">
            <v>643.08621324704438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89.298347862849923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357.044.878,67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656.79456193353474</v>
          </cell>
        </row>
        <row r="59">
          <cell r="I59">
            <v>892.91616314199393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2794.5166163141994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4000.0000000000005</v>
          </cell>
        </row>
        <row r="257">
          <cell r="I257">
            <v>14299.710171428567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32.306767123287692</v>
          </cell>
        </row>
        <row r="11004">
          <cell r="I11004">
            <v>0</v>
          </cell>
        </row>
        <row r="11015">
          <cell r="I11015">
            <v>139.16305205479443</v>
          </cell>
        </row>
        <row r="11026">
          <cell r="I11026">
            <v>51.881635210553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134.1021205415251</v>
          </cell>
        </row>
        <row r="11081">
          <cell r="I11081">
            <v>62.308199999999978</v>
          </cell>
        </row>
        <row r="11092">
          <cell r="I11092">
            <v>360.0376860802898</v>
          </cell>
        </row>
        <row r="11103">
          <cell r="I11103">
            <v>0</v>
          </cell>
        </row>
        <row r="11114">
          <cell r="I11114">
            <v>195.40983561643833</v>
          </cell>
        </row>
        <row r="11125">
          <cell r="I11125">
            <v>13.139726027397261</v>
          </cell>
        </row>
        <row r="11136">
          <cell r="I11136">
            <v>674.82389978084461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146.74661643835631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365.024.443,60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198.89728096676737</v>
          </cell>
        </row>
        <row r="26">
          <cell r="I26">
            <v>264</v>
          </cell>
        </row>
        <row r="48">
          <cell r="I48">
            <v>798.46752265861028</v>
          </cell>
        </row>
        <row r="59">
          <cell r="I59">
            <v>987.36480362537759</v>
          </cell>
        </row>
        <row r="81">
          <cell r="I81">
            <v>2314</v>
          </cell>
        </row>
        <row r="114">
          <cell r="I114">
            <v>241.916918429003</v>
          </cell>
        </row>
        <row r="125">
          <cell r="I125">
            <v>261.88670694864049</v>
          </cell>
        </row>
        <row r="147">
          <cell r="I147">
            <v>2813.0853474320243</v>
          </cell>
        </row>
        <row r="158">
          <cell r="I158">
            <v>2837.843655589124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4601.492842296072</v>
          </cell>
        </row>
        <row r="224">
          <cell r="I224">
            <v>4829.5317220543802</v>
          </cell>
        </row>
        <row r="257">
          <cell r="I257">
            <v>14299.710171428575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9.4145797260273323</v>
          </cell>
        </row>
        <row r="10993">
          <cell r="I10993">
            <v>38.306767123287706</v>
          </cell>
        </row>
        <row r="11004">
          <cell r="I11004">
            <v>0</v>
          </cell>
        </row>
        <row r="11015">
          <cell r="I11015">
            <v>156.71130719029921</v>
          </cell>
        </row>
        <row r="11026">
          <cell r="I11026">
            <v>51.88163521055305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158.58780365296806</v>
          </cell>
        </row>
        <row r="11081">
          <cell r="I11081">
            <v>39.614347258377677</v>
          </cell>
        </row>
        <row r="11092">
          <cell r="I11092">
            <v>483.45191211255451</v>
          </cell>
        </row>
        <row r="11103">
          <cell r="I11103">
            <v>0</v>
          </cell>
        </row>
        <row r="11114">
          <cell r="I11114">
            <v>171.60106849315082</v>
          </cell>
        </row>
        <row r="11125">
          <cell r="I11125">
            <v>13.139726027397261</v>
          </cell>
        </row>
        <row r="11136">
          <cell r="I11136">
            <v>607.3537522075793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146.74661643835623</v>
          </cell>
        </row>
        <row r="11213">
          <cell r="I11213">
            <v>11.544743528950047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121.5606363746227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355.294.099,55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0</v>
          </cell>
        </row>
        <row r="26">
          <cell r="I26">
            <v>0</v>
          </cell>
        </row>
        <row r="48">
          <cell r="I48">
            <v>609.57024169184285</v>
          </cell>
        </row>
        <row r="59">
          <cell r="I59">
            <v>798.46752265861028</v>
          </cell>
        </row>
        <row r="81">
          <cell r="I81">
            <v>2783.4145099697876</v>
          </cell>
        </row>
        <row r="114">
          <cell r="I114">
            <v>216.95468277945619</v>
          </cell>
        </row>
        <row r="125">
          <cell r="I125">
            <v>241.916918429003</v>
          </cell>
        </row>
        <row r="147">
          <cell r="I147">
            <v>2782.1374622356498</v>
          </cell>
        </row>
        <row r="158">
          <cell r="I158">
            <v>2813.0853474320243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4608.3232628398791</v>
          </cell>
        </row>
        <row r="257">
          <cell r="I257">
            <v>14299.71017142858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51.881635210552993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116.50399634703197</v>
          </cell>
        </row>
        <row r="11081">
          <cell r="I11081">
            <v>0</v>
          </cell>
        </row>
        <row r="11092">
          <cell r="I11092">
            <v>457.6691561054389</v>
          </cell>
        </row>
        <row r="11103">
          <cell r="I11103">
            <v>0</v>
          </cell>
        </row>
        <row r="11114">
          <cell r="I11114">
            <v>155.86108219178104</v>
          </cell>
        </row>
        <row r="11125">
          <cell r="I11125">
            <v>13.139726027397261</v>
          </cell>
        </row>
        <row r="11136">
          <cell r="I11136">
            <v>628.84980339727406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89.298347862850363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340.807.897,31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144.65256797583081</v>
          </cell>
        </row>
        <row r="26">
          <cell r="I26">
            <v>216.97885196374622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2996.1941087613295</v>
          </cell>
        </row>
        <row r="114">
          <cell r="I114">
            <v>226.93957703927492</v>
          </cell>
        </row>
        <row r="125">
          <cell r="I125">
            <v>246.90936555891238</v>
          </cell>
        </row>
        <row r="147">
          <cell r="I147">
            <v>2788.3270392749246</v>
          </cell>
        </row>
        <row r="158">
          <cell r="I158">
            <v>2819.2749244712991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4411.0818060422935</v>
          </cell>
        </row>
        <row r="224">
          <cell r="I224">
            <v>4663.6253776435042</v>
          </cell>
        </row>
        <row r="257">
          <cell r="I257">
            <v>14299.710171428567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38.306767123287692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49.398885337392187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106.08780365296806</v>
          </cell>
        </row>
        <row r="11081">
          <cell r="I11081">
            <v>62.308199999999992</v>
          </cell>
        </row>
        <row r="11092">
          <cell r="I11092">
            <v>409.09064195568368</v>
          </cell>
        </row>
        <row r="11103">
          <cell r="I11103">
            <v>0</v>
          </cell>
        </row>
        <row r="11114">
          <cell r="I11114">
            <v>142.48983561643851</v>
          </cell>
        </row>
        <row r="11125">
          <cell r="I11125">
            <v>13.139726027397261</v>
          </cell>
        </row>
        <row r="11136">
          <cell r="I11136">
            <v>685.05480726013138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146.74661643835634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21.895292394329662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342.730.760,08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187</v>
          </cell>
        </row>
        <row r="125">
          <cell r="I125">
            <v>187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14299.710171428585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34.209767123287683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49.398885337392187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94.493196347031926</v>
          </cell>
        </row>
        <row r="11081">
          <cell r="I11081">
            <v>22.010799999999946</v>
          </cell>
        </row>
        <row r="11092">
          <cell r="I11092">
            <v>480.85035016889447</v>
          </cell>
        </row>
        <row r="11103">
          <cell r="I11103">
            <v>0</v>
          </cell>
        </row>
        <row r="11114">
          <cell r="I11114">
            <v>172.37244437486837</v>
          </cell>
        </row>
        <row r="11125">
          <cell r="I11125">
            <v>13.139726027397261</v>
          </cell>
        </row>
        <row r="11136">
          <cell r="I11136">
            <v>613.13153046758896</v>
          </cell>
        </row>
        <row r="11147">
          <cell r="I11147">
            <v>139.83561643835617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89.298347862849937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89.447.971,23</v>
          </cell>
          <cell r="K2" t="str">
            <v>341.789.350,59</v>
          </cell>
          <cell r="N2" t="str">
            <v>35.475.755,55</v>
          </cell>
        </row>
      </sheetData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92">
          <cell r="I92">
            <v>4352.152055752892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6165.659657142839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25.597939726027349</v>
          </cell>
        </row>
        <row r="10993">
          <cell r="I10993">
            <v>37.292232876712305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610.77761795808237</v>
          </cell>
        </row>
        <row r="11103">
          <cell r="I11103">
            <v>0</v>
          </cell>
        </row>
        <row r="11114">
          <cell r="I11114">
            <v>215.30253150684939</v>
          </cell>
        </row>
        <row r="11125">
          <cell r="I11125">
            <v>13.139726027397261</v>
          </cell>
        </row>
        <row r="11136">
          <cell r="I11136">
            <v>891.22487487949354</v>
          </cell>
        </row>
        <row r="11147">
          <cell r="I11147">
            <v>101.25404</v>
          </cell>
        </row>
        <row r="11158">
          <cell r="I11158">
            <v>0</v>
          </cell>
        </row>
        <row r="11169">
          <cell r="I11169">
            <v>63.287671232876718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141.10318356164396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3653.7042880268159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6165.6514285714366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7.8813698630131768E-2</v>
          </cell>
        </row>
        <row r="11004">
          <cell r="I11004">
            <v>0</v>
          </cell>
        </row>
        <row r="11015">
          <cell r="I11015">
            <v>160.54103835616448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96.006480000000181</v>
          </cell>
        </row>
        <row r="11092">
          <cell r="I11092">
            <v>486.39029916176293</v>
          </cell>
        </row>
        <row r="11103">
          <cell r="I11103">
            <v>21.698630136986303</v>
          </cell>
        </row>
        <row r="11114">
          <cell r="I11114">
            <v>188.83346849315092</v>
          </cell>
        </row>
        <row r="11125">
          <cell r="I11125">
            <v>13.139726027397261</v>
          </cell>
        </row>
        <row r="11136">
          <cell r="I11136">
            <v>916.06641547514641</v>
          </cell>
        </row>
        <row r="11147">
          <cell r="I11147">
            <v>139.83561643835617</v>
          </cell>
        </row>
        <row r="11158">
          <cell r="I11158">
            <v>15.316463561643847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0.70160000000005596</v>
          </cell>
        </row>
        <row r="11202">
          <cell r="I11202">
            <v>130.3231835616439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326.651.341,53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231.08108108108104</v>
          </cell>
        </row>
        <row r="26">
          <cell r="I26">
            <v>335</v>
          </cell>
        </row>
        <row r="48">
          <cell r="I48">
            <v>942.87548262548262</v>
          </cell>
        </row>
        <row r="59">
          <cell r="I59">
            <v>1184.284749034749</v>
          </cell>
        </row>
        <row r="81">
          <cell r="I81">
            <v>3621.7582046332045</v>
          </cell>
        </row>
        <row r="114">
          <cell r="I114">
            <v>250.8030888030888</v>
          </cell>
        </row>
        <row r="125">
          <cell r="I125">
            <v>282.70463320463318</v>
          </cell>
        </row>
        <row r="147">
          <cell r="I147">
            <v>2863.6534749034749</v>
          </cell>
        </row>
        <row r="158">
          <cell r="I158">
            <v>3260.3465250965255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4761.5102725827965</v>
          </cell>
        </row>
        <row r="224">
          <cell r="I224">
            <v>5060.135135135135</v>
          </cell>
        </row>
        <row r="257">
          <cell r="I257">
            <v>6165.6514285714466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14.806208426507716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59.285334469812241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108.7731587214611</v>
          </cell>
        </row>
        <row r="11092">
          <cell r="I11092">
            <v>428.88524828226656</v>
          </cell>
        </row>
        <row r="11103">
          <cell r="I11103">
            <v>21.698630136986303</v>
          </cell>
        </row>
        <row r="11114">
          <cell r="I11114">
            <v>193.93346849315068</v>
          </cell>
        </row>
        <row r="11125">
          <cell r="I11125">
            <v>13.139726027397261</v>
          </cell>
        </row>
        <row r="11136">
          <cell r="I11136">
            <v>849.72774084517846</v>
          </cell>
        </row>
        <row r="11147">
          <cell r="I11147">
            <v>139.83561643835617</v>
          </cell>
        </row>
        <row r="11158">
          <cell r="I11158">
            <v>15.316463561643832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0.70160000000002043</v>
          </cell>
        </row>
        <row r="11202">
          <cell r="I11202">
            <v>130.32318356164382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147.49484000000001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312.414.743,93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184.86486486486484</v>
          </cell>
        </row>
        <row r="26">
          <cell r="I26">
            <v>277.29729729729723</v>
          </cell>
        </row>
        <row r="48">
          <cell r="I48">
            <v>761.81853281853284</v>
          </cell>
        </row>
        <row r="59">
          <cell r="I59">
            <v>1047.3447921235434</v>
          </cell>
        </row>
        <row r="81">
          <cell r="I81">
            <v>3185.8388030888032</v>
          </cell>
        </row>
        <row r="114">
          <cell r="I114">
            <v>238.04247104247105</v>
          </cell>
        </row>
        <row r="125">
          <cell r="I125">
            <v>263.56370656370655</v>
          </cell>
        </row>
        <row r="147">
          <cell r="I147">
            <v>2808.2818532818533</v>
          </cell>
        </row>
        <row r="158">
          <cell r="I158">
            <v>2839.9227799227801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5176.8000000000056</v>
          </cell>
        </row>
        <row r="224">
          <cell r="I224">
            <v>6327.2000000000007</v>
          </cell>
        </row>
        <row r="257">
          <cell r="I257">
            <v>6165.6514285714356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28.173813698630116</v>
          </cell>
        </row>
        <row r="11004">
          <cell r="I11004">
            <v>0</v>
          </cell>
        </row>
        <row r="11015">
          <cell r="I11015">
            <v>91.094096834936664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155.32807634703198</v>
          </cell>
        </row>
        <row r="11081">
          <cell r="I11081">
            <v>48.006480000000025</v>
          </cell>
        </row>
        <row r="11092">
          <cell r="I11092">
            <v>410.0769083436299</v>
          </cell>
        </row>
        <row r="11103">
          <cell r="I11103">
            <v>8.8891105962329071</v>
          </cell>
        </row>
        <row r="11114">
          <cell r="I11114">
            <v>133.71346849315077</v>
          </cell>
        </row>
        <row r="11125">
          <cell r="I11125">
            <v>13.139726027397261</v>
          </cell>
        </row>
        <row r="11136">
          <cell r="I11136">
            <v>855.51918689656793</v>
          </cell>
        </row>
        <row r="11147">
          <cell r="I11147">
            <v>138.55344000000005</v>
          </cell>
        </row>
        <row r="11158">
          <cell r="I11158">
            <v>20.813040000000019</v>
          </cell>
        </row>
        <row r="11169">
          <cell r="I11169">
            <v>63.287671232876711</v>
          </cell>
        </row>
        <row r="11180">
          <cell r="I11180">
            <v>73.74990388635203</v>
          </cell>
        </row>
        <row r="11191">
          <cell r="I11191">
            <v>0</v>
          </cell>
        </row>
        <row r="11202">
          <cell r="I11202">
            <v>89.666216438356187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148.19643999999997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300.030.251,95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46.21621621621621</v>
          </cell>
        </row>
        <row r="26">
          <cell r="I26">
            <v>138.64864864864862</v>
          </cell>
        </row>
        <row r="48">
          <cell r="I48">
            <v>399.70463320463318</v>
          </cell>
        </row>
        <row r="59">
          <cell r="I59">
            <v>701.46621621621625</v>
          </cell>
        </row>
        <row r="81">
          <cell r="I81">
            <v>5044.5000000000018</v>
          </cell>
        </row>
        <row r="114">
          <cell r="I114">
            <v>199.76061776061775</v>
          </cell>
        </row>
        <row r="125">
          <cell r="I125">
            <v>225.28185328185327</v>
          </cell>
        </row>
        <row r="147">
          <cell r="I147">
            <v>2760.8204633204632</v>
          </cell>
        </row>
        <row r="158">
          <cell r="I158">
            <v>2792.4613899613901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4141.3513513513517</v>
          </cell>
        </row>
        <row r="224">
          <cell r="I224">
            <v>4468.1248500386082</v>
          </cell>
        </row>
        <row r="257">
          <cell r="I257">
            <v>6165.6514285714411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132.89257247760926</v>
          </cell>
        </row>
        <row r="11092">
          <cell r="I11092">
            <v>234.03392814128975</v>
          </cell>
        </row>
        <row r="11103">
          <cell r="I11103">
            <v>21.698630136986303</v>
          </cell>
        </row>
        <row r="11114">
          <cell r="I11114">
            <v>194.59388219178066</v>
          </cell>
        </row>
        <row r="11125">
          <cell r="I11125">
            <v>13.139726027397261</v>
          </cell>
        </row>
        <row r="11136">
          <cell r="I11136">
            <v>841.98471213483981</v>
          </cell>
        </row>
        <row r="11147">
          <cell r="I11147">
            <v>127.54932504998411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5.1553879452059235</v>
          </cell>
        </row>
        <row r="11202">
          <cell r="I11202">
            <v>154.63274678928965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302.550.591,69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335</v>
          </cell>
        </row>
        <row r="26">
          <cell r="I26">
            <v>335</v>
          </cell>
        </row>
        <row r="48">
          <cell r="I48">
            <v>954.3630718105976</v>
          </cell>
        </row>
        <row r="59">
          <cell r="I59">
            <v>1244.6370656370657</v>
          </cell>
        </row>
        <row r="81">
          <cell r="I81">
            <v>3621.7582046332045</v>
          </cell>
        </row>
        <row r="114">
          <cell r="I114">
            <v>257.18339768339769</v>
          </cell>
        </row>
        <row r="125">
          <cell r="I125">
            <v>289.0849420849421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6165.6514285714275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6.2202328767123003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142.31252000000001</v>
          </cell>
        </row>
        <row r="11092">
          <cell r="I11092">
            <v>492.98524820285797</v>
          </cell>
        </row>
        <row r="11103">
          <cell r="I11103">
            <v>21.698630136986303</v>
          </cell>
        </row>
        <row r="11114">
          <cell r="I11114">
            <v>188.83346849315072</v>
          </cell>
        </row>
        <row r="11125">
          <cell r="I11125">
            <v>13.139726027397261</v>
          </cell>
        </row>
        <row r="11136">
          <cell r="I11136">
            <v>931.97009414627576</v>
          </cell>
        </row>
        <row r="11147">
          <cell r="I11147">
            <v>139.83561643835617</v>
          </cell>
        </row>
        <row r="11158">
          <cell r="I11158">
            <v>15.316463561643815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0.70160000000001332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85.775773383664855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324.981.277,45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207.97297297297294</v>
          </cell>
        </row>
        <row r="26">
          <cell r="I26">
            <v>323.51351351351349</v>
          </cell>
        </row>
        <row r="48">
          <cell r="I48">
            <v>1448.9999999999995</v>
          </cell>
        </row>
        <row r="59">
          <cell r="I59">
            <v>1771.0000000000002</v>
          </cell>
        </row>
        <row r="81">
          <cell r="I81">
            <v>3395.9591743629339</v>
          </cell>
        </row>
        <row r="114">
          <cell r="I114">
            <v>244.42277992277991</v>
          </cell>
        </row>
        <row r="125">
          <cell r="I125">
            <v>276.32432432432432</v>
          </cell>
        </row>
        <row r="147">
          <cell r="I147">
            <v>2816.1920849420849</v>
          </cell>
        </row>
        <row r="158">
          <cell r="I158">
            <v>2855.7432432432433</v>
          </cell>
        </row>
        <row r="180">
          <cell r="I180">
            <v>3063</v>
          </cell>
        </row>
        <row r="191">
          <cell r="I191">
            <v>3067.0000000000005</v>
          </cell>
        </row>
        <row r="213">
          <cell r="I213">
            <v>4636.0810810810808</v>
          </cell>
        </row>
        <row r="224">
          <cell r="I224">
            <v>4989.4594594594591</v>
          </cell>
        </row>
        <row r="257">
          <cell r="I257">
            <v>6165.6514285714438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23.879432876712329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99.544027945205158</v>
          </cell>
        </row>
        <row r="11092">
          <cell r="I11092">
            <v>569.87972031313222</v>
          </cell>
        </row>
        <row r="11103">
          <cell r="I11103">
            <v>8.8891105962328787</v>
          </cell>
        </row>
        <row r="11114">
          <cell r="I11114">
            <v>158.43376438356182</v>
          </cell>
        </row>
        <row r="11125">
          <cell r="I11125">
            <v>13.139726027397261</v>
          </cell>
        </row>
        <row r="11136">
          <cell r="I11136">
            <v>777.5096859341337</v>
          </cell>
        </row>
        <row r="11147">
          <cell r="I11147">
            <v>139.83561643835617</v>
          </cell>
        </row>
        <row r="11158">
          <cell r="I11158">
            <v>20.360303561643839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130.32318356164376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319.032.589,59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942.87548262548262</v>
          </cell>
        </row>
        <row r="59">
          <cell r="I59">
            <v>1219.1140370615631</v>
          </cell>
        </row>
        <row r="81">
          <cell r="I81">
            <v>3621.7582046332045</v>
          </cell>
        </row>
        <row r="114">
          <cell r="I114">
            <v>335.69999999999982</v>
          </cell>
        </row>
        <row r="125">
          <cell r="I125">
            <v>336.3</v>
          </cell>
        </row>
        <row r="147">
          <cell r="I147">
            <v>2832.0125482625485</v>
          </cell>
        </row>
        <row r="158">
          <cell r="I158">
            <v>2863.6534749034749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4777.4324324324325</v>
          </cell>
        </row>
        <row r="224">
          <cell r="I224">
            <v>5130.8108108108108</v>
          </cell>
        </row>
        <row r="257">
          <cell r="I257">
            <v>6165.6514285714411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7.8813698630163742E-2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142.31251999999992</v>
          </cell>
        </row>
        <row r="11092">
          <cell r="I11092">
            <v>492.34293904117101</v>
          </cell>
        </row>
        <row r="11103">
          <cell r="I11103">
            <v>21.698630136986303</v>
          </cell>
        </row>
        <row r="11114">
          <cell r="I11114">
            <v>188.83346849315072</v>
          </cell>
        </row>
        <row r="11125">
          <cell r="I11125">
            <v>13.139726027397261</v>
          </cell>
        </row>
        <row r="11136">
          <cell r="I11136">
            <v>848.06834613559215</v>
          </cell>
        </row>
        <row r="11147">
          <cell r="I11147">
            <v>139.83561643835617</v>
          </cell>
        </row>
        <row r="11158">
          <cell r="I11158">
            <v>15.316463561643836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0.70160000000002043</v>
          </cell>
        </row>
        <row r="11202">
          <cell r="I11202">
            <v>130.32318356164379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325.078.311,58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277.29729729729723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263.56370656370655</v>
          </cell>
        </row>
        <row r="125">
          <cell r="I125">
            <v>289.0849420849421</v>
          </cell>
        </row>
        <row r="147">
          <cell r="I147">
            <v>2745</v>
          </cell>
        </row>
        <row r="158">
          <cell r="I158">
            <v>2745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5130.8108108108108</v>
          </cell>
        </row>
        <row r="257">
          <cell r="I257">
            <v>6165.6514285714075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26.688998356164682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96.006479999999982</v>
          </cell>
        </row>
        <row r="11092">
          <cell r="I11092">
            <v>559.10147874272548</v>
          </cell>
        </row>
        <row r="11103">
          <cell r="I11103">
            <v>21.698630136986303</v>
          </cell>
        </row>
        <row r="11114">
          <cell r="I11114">
            <v>193.93346849315077</v>
          </cell>
        </row>
        <row r="11125">
          <cell r="I11125">
            <v>13.139726027397263</v>
          </cell>
        </row>
        <row r="11136">
          <cell r="I11136">
            <v>936.19938764522772</v>
          </cell>
        </row>
        <row r="11147">
          <cell r="I11147">
            <v>139.83561643835617</v>
          </cell>
        </row>
        <row r="11158">
          <cell r="I11158">
            <v>15.316463561643829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0.70160000000002043</v>
          </cell>
        </row>
        <row r="11202">
          <cell r="I11202">
            <v>130.3231835616439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339.569.195,49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334.99999999999994</v>
          </cell>
        </row>
        <row r="26">
          <cell r="I26">
            <v>335</v>
          </cell>
        </row>
        <row r="48">
          <cell r="I48">
            <v>1184.284749034749</v>
          </cell>
        </row>
        <row r="59">
          <cell r="I59">
            <v>1486.0463320463321</v>
          </cell>
        </row>
        <row r="81">
          <cell r="I81">
            <v>4304.2239147964383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6165.6514285714429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545.16959239688413</v>
          </cell>
        </row>
        <row r="11103">
          <cell r="I11103">
            <v>21.698630136986303</v>
          </cell>
        </row>
        <row r="11114">
          <cell r="I11114">
            <v>225.86980328767334</v>
          </cell>
        </row>
        <row r="11125">
          <cell r="I11125">
            <v>13.139726027397261</v>
          </cell>
        </row>
        <row r="11136">
          <cell r="I11136">
            <v>870.54009798727509</v>
          </cell>
        </row>
        <row r="11147">
          <cell r="I11147">
            <v>136.01403999999997</v>
          </cell>
        </row>
        <row r="11158">
          <cell r="I11158">
            <v>22.050879999999992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347.376.844,85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335</v>
          </cell>
        </row>
        <row r="26">
          <cell r="I26">
            <v>335</v>
          </cell>
        </row>
        <row r="48">
          <cell r="I48">
            <v>1419.8137153112486</v>
          </cell>
        </row>
        <row r="59">
          <cell r="I59">
            <v>1771.0000000000002</v>
          </cell>
        </row>
        <row r="81">
          <cell r="I81">
            <v>2314</v>
          </cell>
        </row>
        <row r="114">
          <cell r="I114">
            <v>301.84555984555982</v>
          </cell>
        </row>
        <row r="125">
          <cell r="I125">
            <v>336.3</v>
          </cell>
        </row>
        <row r="147">
          <cell r="I147">
            <v>2871.5637065637065</v>
          </cell>
        </row>
        <row r="158">
          <cell r="I158">
            <v>3252.4362934362948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5176.7999999999902</v>
          </cell>
        </row>
        <row r="224">
          <cell r="I224">
            <v>6327.2000000000007</v>
          </cell>
        </row>
        <row r="257">
          <cell r="I257">
            <v>6165.6514285714229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109.3473766995549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103.79958507460944</v>
          </cell>
        </row>
        <row r="11092">
          <cell r="I11092">
            <v>534.93493992891877</v>
          </cell>
        </row>
        <row r="11103">
          <cell r="I11103">
            <v>21.698630136986303</v>
          </cell>
        </row>
        <row r="11114">
          <cell r="I11114">
            <v>147.59286986301365</v>
          </cell>
        </row>
        <row r="11125">
          <cell r="I11125">
            <v>13.139726027397261</v>
          </cell>
        </row>
        <row r="11136">
          <cell r="I11136">
            <v>833.3569501923713</v>
          </cell>
        </row>
        <row r="11147">
          <cell r="I11147">
            <v>138.55343999999999</v>
          </cell>
        </row>
        <row r="11158">
          <cell r="I11158">
            <v>20.81303999999999</v>
          </cell>
        </row>
        <row r="11169">
          <cell r="I11169">
            <v>63.287671232876711</v>
          </cell>
        </row>
        <row r="11180">
          <cell r="I11180">
            <v>71.469903886352029</v>
          </cell>
        </row>
        <row r="11191">
          <cell r="I11191">
            <v>10.307452054794521</v>
          </cell>
        </row>
        <row r="11202">
          <cell r="I11202">
            <v>89.666216438356329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341.745.371,09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/>
      <sheetData sheetId="1"/>
      <sheetData sheetId="2"/>
      <sheetData sheetId="3">
        <row r="15">
          <cell r="I15">
            <v>264</v>
          </cell>
        </row>
        <row r="26">
          <cell r="I26">
            <v>264</v>
          </cell>
        </row>
        <row r="48">
          <cell r="I48">
            <v>1233.8600000000001</v>
          </cell>
        </row>
        <row r="59">
          <cell r="I59">
            <v>1486.0463320463321</v>
          </cell>
        </row>
        <row r="81">
          <cell r="I81">
            <v>4316.1611033719391</v>
          </cell>
        </row>
        <row r="92">
          <cell r="I92">
            <v>4929.516409266409</v>
          </cell>
        </row>
        <row r="114">
          <cell r="I114">
            <v>282.70463320463318</v>
          </cell>
        </row>
        <row r="125">
          <cell r="I125">
            <v>314.6061776061776</v>
          </cell>
        </row>
        <row r="147">
          <cell r="I147">
            <v>2863.6534749034749</v>
          </cell>
        </row>
        <row r="158">
          <cell r="I158">
            <v>2903.2046332046334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4000</v>
          </cell>
        </row>
        <row r="224">
          <cell r="I224">
            <v>4058.8963963963965</v>
          </cell>
        </row>
        <row r="257">
          <cell r="I257">
            <v>6165.6596571428699</v>
          </cell>
        </row>
        <row r="10960">
          <cell r="I10960">
            <v>193.34727545313123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34.306767123287685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654.86906334836613</v>
          </cell>
        </row>
        <row r="11103">
          <cell r="I11103">
            <v>0</v>
          </cell>
        </row>
        <row r="11114">
          <cell r="I11114">
            <v>244.0422356164384</v>
          </cell>
        </row>
        <row r="11125">
          <cell r="I11125">
            <v>13.139726027397261</v>
          </cell>
        </row>
        <row r="11136">
          <cell r="I11136">
            <v>881.8544419936228</v>
          </cell>
        </row>
        <row r="11147">
          <cell r="I11147">
            <v>107.17495999999997</v>
          </cell>
        </row>
        <row r="11158">
          <cell r="I11158">
            <v>0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0</v>
          </cell>
        </row>
        <row r="26">
          <cell r="I26">
            <v>0</v>
          </cell>
        </row>
        <row r="48">
          <cell r="I48">
            <v>1055.8980151656008</v>
          </cell>
        </row>
        <row r="59">
          <cell r="I59">
            <v>1304.9893822393822</v>
          </cell>
        </row>
        <row r="81">
          <cell r="I81">
            <v>3814.6320450619864</v>
          </cell>
        </row>
        <row r="114">
          <cell r="I114">
            <v>263.56370656370655</v>
          </cell>
        </row>
        <row r="125">
          <cell r="I125">
            <v>295.46525096525096</v>
          </cell>
        </row>
        <row r="147">
          <cell r="I147">
            <v>2839.9227799227801</v>
          </cell>
        </row>
        <row r="158">
          <cell r="I158">
            <v>2879.4739382239381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4848.1081081081084</v>
          </cell>
        </row>
        <row r="224">
          <cell r="I224">
            <v>5201.4864864864867</v>
          </cell>
        </row>
        <row r="257">
          <cell r="I257">
            <v>6165.6514285714175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120.68619105601186</v>
          </cell>
        </row>
        <row r="11092">
          <cell r="I11092">
            <v>479.94253538749899</v>
          </cell>
        </row>
        <row r="11103">
          <cell r="I11103">
            <v>21.698630136986303</v>
          </cell>
        </row>
        <row r="11114">
          <cell r="I11114">
            <v>201.53346849315085</v>
          </cell>
        </row>
        <row r="11125">
          <cell r="I11125">
            <v>13.139726027397261</v>
          </cell>
        </row>
        <row r="11136">
          <cell r="I11136">
            <v>880.49249011120889</v>
          </cell>
        </row>
        <row r="11147">
          <cell r="I11147">
            <v>139.83561643835617</v>
          </cell>
        </row>
        <row r="11158">
          <cell r="I11158">
            <v>15.316463561643801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128.84621643835615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327.213.824,12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335</v>
          </cell>
        </row>
        <row r="26">
          <cell r="I26">
            <v>335</v>
          </cell>
        </row>
        <row r="48">
          <cell r="I48">
            <v>279</v>
          </cell>
        </row>
        <row r="59">
          <cell r="I59">
            <v>308.09135366388062</v>
          </cell>
        </row>
        <row r="81">
          <cell r="I81">
            <v>4202.9840733590736</v>
          </cell>
        </row>
        <row r="114">
          <cell r="I114">
            <v>282.70463320463318</v>
          </cell>
        </row>
        <row r="125">
          <cell r="I125">
            <v>308.22586872586874</v>
          </cell>
        </row>
        <row r="147">
          <cell r="I147">
            <v>2863.6534749034749</v>
          </cell>
        </row>
        <row r="158">
          <cell r="I158">
            <v>2895.2944015444018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5060.135135135135</v>
          </cell>
        </row>
        <row r="224">
          <cell r="I224">
            <v>5342.8378378378375</v>
          </cell>
        </row>
        <row r="257">
          <cell r="I257">
            <v>6165.6514285714411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152.97534246575341</v>
          </cell>
        </row>
        <row r="11092">
          <cell r="I11092">
            <v>584.59328666311387</v>
          </cell>
        </row>
        <row r="11103">
          <cell r="I11103">
            <v>21.698630136986303</v>
          </cell>
        </row>
        <row r="11114">
          <cell r="I11114">
            <v>184.3899343356519</v>
          </cell>
        </row>
        <row r="11125">
          <cell r="I11125">
            <v>13.139726027397261</v>
          </cell>
        </row>
        <row r="11136">
          <cell r="I11136">
            <v>960.57181624019563</v>
          </cell>
        </row>
        <row r="11147">
          <cell r="I11147">
            <v>139.83561643835617</v>
          </cell>
        </row>
        <row r="11158">
          <cell r="I11158">
            <v>15.316463561643793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329.604.019,80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254.18918918918914</v>
          </cell>
        </row>
        <row r="26">
          <cell r="I26">
            <v>335</v>
          </cell>
        </row>
        <row r="48">
          <cell r="I48">
            <v>1003.2277992277992</v>
          </cell>
        </row>
        <row r="59">
          <cell r="I59">
            <v>1244.6370656370657</v>
          </cell>
        </row>
        <row r="81">
          <cell r="I81">
            <v>3767.0646718146718</v>
          </cell>
        </row>
        <row r="114">
          <cell r="I114">
            <v>187</v>
          </cell>
        </row>
        <row r="125">
          <cell r="I125">
            <v>187.00000000000074</v>
          </cell>
        </row>
        <row r="147">
          <cell r="I147">
            <v>2832.0125482625485</v>
          </cell>
        </row>
        <row r="158">
          <cell r="I158">
            <v>2871.5637065637065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4836.3403884129157</v>
          </cell>
        </row>
        <row r="224">
          <cell r="I224">
            <v>5130.8108108108108</v>
          </cell>
        </row>
        <row r="257">
          <cell r="I257">
            <v>6165.6514285714429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19.441027603372852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108.77315872146116</v>
          </cell>
        </row>
        <row r="11092">
          <cell r="I11092">
            <v>504.96602865947989</v>
          </cell>
        </row>
        <row r="11103">
          <cell r="I11103">
            <v>21.698630136986303</v>
          </cell>
        </row>
        <row r="11114">
          <cell r="I11114">
            <v>197.17125458840817</v>
          </cell>
        </row>
        <row r="11125">
          <cell r="I11125">
            <v>13.139726027397261</v>
          </cell>
        </row>
        <row r="11136">
          <cell r="I11136">
            <v>988.30268910854375</v>
          </cell>
        </row>
        <row r="11147">
          <cell r="I11147">
            <v>139.83561643835617</v>
          </cell>
        </row>
        <row r="11158">
          <cell r="I11158">
            <v>15.316463561643836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130.32318356164387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121.92226845154346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47.021.195,86</v>
          </cell>
          <cell r="K2" t="str">
            <v>327.620.435,81</v>
          </cell>
          <cell r="N2" t="str">
            <v>71.948.395,79</v>
          </cell>
        </row>
      </sheetData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108.48942598187311</v>
          </cell>
        </row>
        <row r="26">
          <cell r="I26">
            <v>180.81570996978851</v>
          </cell>
        </row>
        <row r="48">
          <cell r="I48">
            <v>562.34592145015108</v>
          </cell>
        </row>
        <row r="59">
          <cell r="I59">
            <v>798.46752265861028</v>
          </cell>
        </row>
        <row r="81">
          <cell r="I81">
            <v>2768.7960725075527</v>
          </cell>
        </row>
        <row r="114">
          <cell r="I114">
            <v>216.95468277945619</v>
          </cell>
        </row>
        <row r="125">
          <cell r="I125">
            <v>236.92447129909365</v>
          </cell>
        </row>
        <row r="147">
          <cell r="I147">
            <v>2782.1374622356498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3066.9999999999991</v>
          </cell>
        </row>
        <row r="213">
          <cell r="I213">
            <v>4331.8126888217521</v>
          </cell>
        </row>
        <row r="224">
          <cell r="I224">
            <v>4553.0211480362541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44.070160324708311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165.71928043835607</v>
          </cell>
        </row>
        <row r="11081">
          <cell r="I11081">
            <v>48.010800000000017</v>
          </cell>
        </row>
        <row r="11092">
          <cell r="I11092">
            <v>312.63662324075642</v>
          </cell>
        </row>
        <row r="11103">
          <cell r="I11103">
            <v>0</v>
          </cell>
        </row>
        <row r="11114">
          <cell r="I11114">
            <v>148.41273945205501</v>
          </cell>
        </row>
        <row r="11125">
          <cell r="I11125">
            <v>13.139726027397261</v>
          </cell>
        </row>
        <row r="11136">
          <cell r="I11136">
            <v>515.19747142485949</v>
          </cell>
        </row>
        <row r="11147">
          <cell r="I11147">
            <v>139.83561643835617</v>
          </cell>
        </row>
        <row r="11158">
          <cell r="I11158">
            <v>6.3418399999999906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78.435881450150902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339.985.632,35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90.407854984894257</v>
          </cell>
        </row>
        <row r="26">
          <cell r="I26">
            <v>162.73413897280966</v>
          </cell>
        </row>
        <row r="48">
          <cell r="I48">
            <v>515.1216012084592</v>
          </cell>
        </row>
        <row r="59">
          <cell r="I59">
            <v>746.90925768793443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2876.5285120845924</v>
          </cell>
        </row>
        <row r="158">
          <cell r="I158">
            <v>3247.4714879154089</v>
          </cell>
        </row>
        <row r="180">
          <cell r="I180">
            <v>3063</v>
          </cell>
        </row>
        <row r="191">
          <cell r="I191">
            <v>3067</v>
          </cell>
        </row>
        <row r="213">
          <cell r="I213">
            <v>4276.510574018127</v>
          </cell>
        </row>
        <row r="224">
          <cell r="I224">
            <v>4497.7190332326281</v>
          </cell>
        </row>
        <row r="257">
          <cell r="I257">
            <v>14223.844769725045</v>
          </cell>
        </row>
        <row r="10960">
          <cell r="I10960">
            <v>52.932872530042076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29.115496195007992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37.534160324708267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53.479023455664731</v>
          </cell>
        </row>
        <row r="11092">
          <cell r="I11092">
            <v>312.46883520797695</v>
          </cell>
        </row>
        <row r="11103">
          <cell r="I11103">
            <v>0</v>
          </cell>
        </row>
        <row r="11114">
          <cell r="I11114">
            <v>155.99005664362875</v>
          </cell>
        </row>
        <row r="11125">
          <cell r="I11125">
            <v>13.139726027397261</v>
          </cell>
        </row>
        <row r="11136">
          <cell r="I11136">
            <v>607.00039189356983</v>
          </cell>
        </row>
        <row r="11147">
          <cell r="I11147">
            <v>139.83561643835617</v>
          </cell>
        </row>
        <row r="11158">
          <cell r="I11158">
            <v>12.141839999999995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322.393.651,59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351.28690119243959</v>
          </cell>
        </row>
        <row r="81">
          <cell r="I81">
            <v>2314</v>
          </cell>
        </row>
        <row r="114">
          <cell r="I114">
            <v>187</v>
          </cell>
        </row>
        <row r="125">
          <cell r="I125">
            <v>187.00000000000014</v>
          </cell>
        </row>
        <row r="147">
          <cell r="I147">
            <v>2745</v>
          </cell>
        </row>
        <row r="158">
          <cell r="I158">
            <v>2745.0000000000045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5176.8000000000156</v>
          </cell>
        </row>
        <row r="224">
          <cell r="I224">
            <v>6327.2000000000007</v>
          </cell>
        </row>
        <row r="257">
          <cell r="I257">
            <v>14223.844769725041</v>
          </cell>
        </row>
        <row r="10960">
          <cell r="I10960">
            <v>91.505641146640684</v>
          </cell>
        </row>
        <row r="10971">
          <cell r="I10971">
            <v>42.493150684931507</v>
          </cell>
        </row>
        <row r="10982">
          <cell r="I10982">
            <v>0</v>
          </cell>
        </row>
        <row r="10993">
          <cell r="I10993">
            <v>19.249732876712311</v>
          </cell>
        </row>
        <row r="11004">
          <cell r="I11004">
            <v>0</v>
          </cell>
        </row>
        <row r="11015">
          <cell r="I11015">
            <v>0</v>
          </cell>
        </row>
        <row r="11026">
          <cell r="I11026">
            <v>60.876712328767127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74.010799999999961</v>
          </cell>
        </row>
        <row r="11092">
          <cell r="I11092">
            <v>352.3118312489741</v>
          </cell>
        </row>
        <row r="11103">
          <cell r="I11103">
            <v>0</v>
          </cell>
        </row>
        <row r="11114">
          <cell r="I11114">
            <v>112.30106849315067</v>
          </cell>
        </row>
        <row r="11125">
          <cell r="I11125">
            <v>13.139726027397261</v>
          </cell>
        </row>
        <row r="11136">
          <cell r="I11136">
            <v>736.5226830355632</v>
          </cell>
        </row>
        <row r="11147">
          <cell r="I11147">
            <v>133.33315999999994</v>
          </cell>
        </row>
        <row r="11158">
          <cell r="I11158">
            <v>6.6681600000000136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10.307452054794521</v>
          </cell>
        </row>
        <row r="11202">
          <cell r="I11202">
            <v>92.4106164383563</v>
          </cell>
        </row>
        <row r="11213">
          <cell r="I11213">
            <v>0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162.67945205479452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309.148.721,81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0</v>
          </cell>
        </row>
        <row r="26">
          <cell r="I26">
            <v>0</v>
          </cell>
        </row>
        <row r="48">
          <cell r="I48">
            <v>279</v>
          </cell>
        </row>
        <row r="59">
          <cell r="I59">
            <v>279</v>
          </cell>
        </row>
        <row r="81">
          <cell r="I81">
            <v>3758.4303113133051</v>
          </cell>
        </row>
        <row r="114">
          <cell r="I114">
            <v>187</v>
          </cell>
        </row>
        <row r="125">
          <cell r="I125">
            <v>187.00000000000009</v>
          </cell>
        </row>
        <row r="147">
          <cell r="I147">
            <v>2745</v>
          </cell>
        </row>
        <row r="158">
          <cell r="I158">
            <v>2745.0000000000041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4000</v>
          </cell>
        </row>
        <row r="224">
          <cell r="I224">
            <v>4000.0000000000018</v>
          </cell>
        </row>
        <row r="257">
          <cell r="I257">
            <v>14223.844769725058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39.009315068493152</v>
          </cell>
        </row>
        <row r="11004">
          <cell r="I11004">
            <v>0</v>
          </cell>
        </row>
        <row r="11015">
          <cell r="I11015">
            <v>162.37142465753411</v>
          </cell>
        </row>
        <row r="11026">
          <cell r="I11026">
            <v>48.101037037037081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50.079408214968382</v>
          </cell>
        </row>
        <row r="11092">
          <cell r="I11092">
            <v>286.38248985961292</v>
          </cell>
        </row>
        <row r="11103">
          <cell r="I11103">
            <v>0</v>
          </cell>
        </row>
        <row r="11114">
          <cell r="I11114">
            <v>202.17609713627826</v>
          </cell>
        </row>
        <row r="11125">
          <cell r="I11125">
            <v>13.139726027397261</v>
          </cell>
        </row>
        <row r="11136">
          <cell r="I11136">
            <v>736.66537888013352</v>
          </cell>
        </row>
        <row r="11147">
          <cell r="I11147">
            <v>133.32383999999999</v>
          </cell>
        </row>
        <row r="11158">
          <cell r="I11158">
            <v>30.136986301369863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317.256.212,64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335</v>
          </cell>
        </row>
        <row r="26">
          <cell r="I26">
            <v>335</v>
          </cell>
        </row>
        <row r="48">
          <cell r="I48">
            <v>515.1216012084592</v>
          </cell>
        </row>
        <row r="59">
          <cell r="I59">
            <v>751.24320241691839</v>
          </cell>
        </row>
        <row r="81">
          <cell r="I81">
            <v>2655.0970543806648</v>
          </cell>
        </row>
        <row r="114">
          <cell r="I114">
            <v>211.96223564954681</v>
          </cell>
        </row>
        <row r="125">
          <cell r="I125">
            <v>231.93202416918427</v>
          </cell>
        </row>
        <row r="147">
          <cell r="I147">
            <v>2775.9478851963745</v>
          </cell>
        </row>
        <row r="158">
          <cell r="I158">
            <v>2800.7061933534742</v>
          </cell>
        </row>
        <row r="180">
          <cell r="I180">
            <v>3063</v>
          </cell>
        </row>
        <row r="191">
          <cell r="I191">
            <v>3066.9999999999995</v>
          </cell>
        </row>
        <row r="213">
          <cell r="I213">
            <v>4276.510574018127</v>
          </cell>
        </row>
        <row r="224">
          <cell r="I224">
            <v>4510.1739857846105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19.049732876712316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44.070160324708283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110.91319634703206</v>
          </cell>
        </row>
        <row r="11081">
          <cell r="I11081">
            <v>48.010799999999946</v>
          </cell>
        </row>
        <row r="11092">
          <cell r="I11092">
            <v>393.61685777684102</v>
          </cell>
        </row>
        <row r="11103">
          <cell r="I11103">
            <v>0</v>
          </cell>
        </row>
        <row r="11114">
          <cell r="I11114">
            <v>144.31304452487583</v>
          </cell>
        </row>
        <row r="11125">
          <cell r="I11125">
            <v>13.139726027397261</v>
          </cell>
        </row>
        <row r="11136">
          <cell r="I11136">
            <v>580.75451989357055</v>
          </cell>
        </row>
        <row r="11147">
          <cell r="I11147">
            <v>139.83561643835617</v>
          </cell>
        </row>
        <row r="11158">
          <cell r="I11158">
            <v>12.141839999999988</v>
          </cell>
        </row>
        <row r="11169">
          <cell r="I11169">
            <v>63.287671232876711</v>
          </cell>
        </row>
        <row r="11180">
          <cell r="I11180">
            <v>108.17088767123275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5.46822345566473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338.106.303,83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18.081570996978851</v>
          </cell>
        </row>
        <row r="26">
          <cell r="I26">
            <v>90.407854984894257</v>
          </cell>
        </row>
        <row r="48">
          <cell r="I48">
            <v>1448.9999999999975</v>
          </cell>
        </row>
        <row r="59">
          <cell r="I59">
            <v>1771.0000000000002</v>
          </cell>
        </row>
        <row r="81">
          <cell r="I81">
            <v>2314</v>
          </cell>
        </row>
        <row r="114">
          <cell r="I114">
            <v>191.99244712990935</v>
          </cell>
        </row>
        <row r="125">
          <cell r="I125">
            <v>211.96223564954681</v>
          </cell>
        </row>
        <row r="147">
          <cell r="I147">
            <v>2751.1895770392748</v>
          </cell>
        </row>
        <row r="158">
          <cell r="I158">
            <v>2775.9478851963745</v>
          </cell>
        </row>
        <row r="180">
          <cell r="I180">
            <v>3063</v>
          </cell>
        </row>
        <row r="191">
          <cell r="I191">
            <v>3063.0000000000005</v>
          </cell>
        </row>
        <row r="213">
          <cell r="I213">
            <v>4055.3021148036255</v>
          </cell>
        </row>
        <row r="224">
          <cell r="I224">
            <v>4276.510574018127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33.687732876712332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49.027894469812274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0</v>
          </cell>
        </row>
        <row r="11092">
          <cell r="I11092">
            <v>278.0223515340557</v>
          </cell>
        </row>
        <row r="11103">
          <cell r="I11103">
            <v>0</v>
          </cell>
        </row>
        <row r="11114">
          <cell r="I11114">
            <v>149.19920547945227</v>
          </cell>
        </row>
        <row r="11125">
          <cell r="I11125">
            <v>13.139726027397261</v>
          </cell>
        </row>
        <row r="11136">
          <cell r="I11136">
            <v>697.14424131488886</v>
          </cell>
        </row>
        <row r="11147">
          <cell r="I11147">
            <v>122.49315999999999</v>
          </cell>
        </row>
        <row r="11158">
          <cell r="I11158">
            <v>6.3081600000000311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0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332.354.290,78</v>
          </cell>
          <cell r="N2" t="str">
            <v>35.380.701,91</v>
          </cell>
        </row>
      </sheetData>
      <sheetData sheetId="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rization Curves"/>
      <sheetName val="Source Shares"/>
      <sheetName val="Node Results"/>
      <sheetName val="Arc Results"/>
      <sheetName val="Arc Data"/>
      <sheetName val="Node Data"/>
      <sheetName val="Log"/>
      <sheetName val="Parameters"/>
    </sheetNames>
    <sheetDataSet>
      <sheetData sheetId="0" refreshError="1"/>
      <sheetData sheetId="1" refreshError="1"/>
      <sheetData sheetId="2" refreshError="1"/>
      <sheetData sheetId="3" refreshError="1">
        <row r="15">
          <cell r="I15">
            <v>90.407854984894257</v>
          </cell>
        </row>
        <row r="26">
          <cell r="I26">
            <v>180.81570996978851</v>
          </cell>
        </row>
        <row r="48">
          <cell r="I48">
            <v>523.05653865470276</v>
          </cell>
        </row>
        <row r="59">
          <cell r="I59">
            <v>751.24320241691839</v>
          </cell>
        </row>
        <row r="81">
          <cell r="I81">
            <v>2768.7960725075527</v>
          </cell>
        </row>
        <row r="114">
          <cell r="I114">
            <v>335.7</v>
          </cell>
        </row>
        <row r="125">
          <cell r="I125">
            <v>336.3</v>
          </cell>
        </row>
        <row r="147">
          <cell r="I147">
            <v>2775.9478851963745</v>
          </cell>
        </row>
        <row r="158">
          <cell r="I158">
            <v>2806.8957703927495</v>
          </cell>
        </row>
        <row r="180">
          <cell r="I180">
            <v>3063</v>
          </cell>
        </row>
        <row r="191">
          <cell r="I191">
            <v>3067.0000000000009</v>
          </cell>
        </row>
        <row r="213">
          <cell r="I213">
            <v>4276.510574018127</v>
          </cell>
        </row>
        <row r="224">
          <cell r="I224">
            <v>4553.0211480362541</v>
          </cell>
        </row>
        <row r="257">
          <cell r="I257">
            <v>14223.844769725045</v>
          </cell>
        </row>
        <row r="10960">
          <cell r="I10960">
            <v>218.55342465753424</v>
          </cell>
        </row>
        <row r="10971">
          <cell r="I10971">
            <v>42.493150684931507</v>
          </cell>
        </row>
        <row r="10982">
          <cell r="I10982">
            <v>33.150684931506852</v>
          </cell>
        </row>
        <row r="10993">
          <cell r="I10993">
            <v>38.657587861606601</v>
          </cell>
        </row>
        <row r="11004">
          <cell r="I11004">
            <v>0</v>
          </cell>
        </row>
        <row r="11015">
          <cell r="I11015">
            <v>162.49863013698629</v>
          </cell>
        </row>
        <row r="11026">
          <cell r="I11026">
            <v>44.070160324708304</v>
          </cell>
        </row>
        <row r="11037">
          <cell r="I11037">
            <v>0</v>
          </cell>
        </row>
        <row r="11048">
          <cell r="I11048">
            <v>0</v>
          </cell>
        </row>
        <row r="11059">
          <cell r="I11059">
            <v>427.16164383561642</v>
          </cell>
        </row>
        <row r="11070">
          <cell r="I11070">
            <v>170.81643835616438</v>
          </cell>
        </row>
        <row r="11081">
          <cell r="I11081">
            <v>81.308199999999971</v>
          </cell>
        </row>
        <row r="11092">
          <cell r="I11092">
            <v>291.85238677640837</v>
          </cell>
        </row>
        <row r="11103">
          <cell r="I11103">
            <v>0</v>
          </cell>
        </row>
        <row r="11114">
          <cell r="I11114">
            <v>131.8075452054795</v>
          </cell>
        </row>
        <row r="11125">
          <cell r="I11125">
            <v>13.139726027397261</v>
          </cell>
        </row>
        <row r="11136">
          <cell r="I11136">
            <v>580.82006446022797</v>
          </cell>
        </row>
        <row r="11147">
          <cell r="I11147">
            <v>139.83561643835617</v>
          </cell>
        </row>
        <row r="11158">
          <cell r="I11158">
            <v>12.141840000000009</v>
          </cell>
        </row>
        <row r="11169">
          <cell r="I11169">
            <v>63.287671232876711</v>
          </cell>
        </row>
        <row r="11180">
          <cell r="I11180">
            <v>109.57205479452055</v>
          </cell>
        </row>
        <row r="11191">
          <cell r="I11191">
            <v>0</v>
          </cell>
        </row>
        <row r="11202">
          <cell r="I11202">
            <v>161.77534246575343</v>
          </cell>
        </row>
        <row r="11213">
          <cell r="I11213">
            <v>18.082191780821919</v>
          </cell>
        </row>
        <row r="11224">
          <cell r="I11224">
            <v>172.98630136986301</v>
          </cell>
        </row>
        <row r="11235">
          <cell r="I11235">
            <v>0</v>
          </cell>
        </row>
        <row r="11246">
          <cell r="I11246">
            <v>6.2425600000000898</v>
          </cell>
        </row>
        <row r="11257">
          <cell r="I11257">
            <v>0.60273972602739723</v>
          </cell>
        </row>
        <row r="11268">
          <cell r="I11268">
            <v>286.66301369863015</v>
          </cell>
        </row>
      </sheetData>
      <sheetData sheetId="4" refreshError="1"/>
      <sheetData sheetId="5" refreshError="1"/>
      <sheetData sheetId="6" refreshError="1">
        <row r="2">
          <cell r="J2" t="str">
            <v>88.973.415,72</v>
          </cell>
          <cell r="K2" t="str">
            <v>338.166.135,34</v>
          </cell>
          <cell r="N2" t="str">
            <v>35.380.701,91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X37"/>
  <sheetViews>
    <sheetView zoomScale="85" zoomScaleNormal="85" workbookViewId="0">
      <pane xSplit="1" ySplit="4" topLeftCell="B11" activePane="bottomRight" state="frozen"/>
      <selection activeCell="AD30" sqref="AD30"/>
      <selection pane="topRight" activeCell="AD30" sqref="AD30"/>
      <selection pane="bottomLeft" activeCell="AD30" sqref="AD30"/>
      <selection pane="bottomRight" activeCell="AD30" sqref="AD30"/>
    </sheetView>
  </sheetViews>
  <sheetFormatPr defaultRowHeight="15"/>
  <cols>
    <col min="1" max="1" width="3.44140625" bestFit="1" customWidth="1"/>
    <col min="2" max="2" width="5" bestFit="1" customWidth="1"/>
    <col min="3" max="4" width="6.5546875" customWidth="1"/>
    <col min="5" max="5" width="12.5546875" bestFit="1" customWidth="1"/>
    <col min="6" max="6" width="12" customWidth="1"/>
    <col min="7" max="7" width="6.109375" customWidth="1"/>
    <col min="8" max="8" width="10.77734375" customWidth="1"/>
    <col min="9" max="9" width="6.109375" customWidth="1"/>
    <col min="10" max="10" width="8.44140625" bestFit="1" customWidth="1"/>
    <col min="11" max="11" width="8.6640625" bestFit="1" customWidth="1"/>
    <col min="12" max="21" width="5.5546875" customWidth="1"/>
    <col min="22" max="23" width="5.109375" customWidth="1"/>
    <col min="24" max="24" width="10" bestFit="1" customWidth="1"/>
  </cols>
  <sheetData>
    <row r="2" spans="1:24" ht="15.75">
      <c r="C2" s="47" t="s">
        <v>28</v>
      </c>
      <c r="D2" s="47"/>
      <c r="F2" s="47" t="s">
        <v>23</v>
      </c>
      <c r="G2" s="47"/>
      <c r="H2" s="47"/>
      <c r="I2" s="47"/>
      <c r="L2" s="47" t="s">
        <v>11</v>
      </c>
      <c r="M2" s="47"/>
      <c r="N2" s="47"/>
      <c r="O2" s="47"/>
      <c r="P2" s="47"/>
      <c r="Q2" s="47"/>
      <c r="R2" s="47"/>
      <c r="S2" s="47" t="s">
        <v>19</v>
      </c>
      <c r="T2" s="47"/>
      <c r="U2" s="47"/>
    </row>
    <row r="3" spans="1:24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J3" s="1" t="s">
        <v>2</v>
      </c>
      <c r="K3" s="1" t="s">
        <v>3</v>
      </c>
      <c r="L3" s="1" t="s">
        <v>12</v>
      </c>
      <c r="M3" s="1" t="s">
        <v>13</v>
      </c>
      <c r="N3" s="1" t="s">
        <v>14</v>
      </c>
      <c r="O3" s="1" t="s">
        <v>15</v>
      </c>
      <c r="P3" s="1" t="s">
        <v>16</v>
      </c>
      <c r="Q3" s="1" t="s">
        <v>17</v>
      </c>
      <c r="R3" s="1" t="s">
        <v>18</v>
      </c>
      <c r="S3" s="1" t="s">
        <v>20</v>
      </c>
      <c r="T3" s="1" t="s">
        <v>21</v>
      </c>
      <c r="U3" s="1" t="s">
        <v>22</v>
      </c>
      <c r="V3" s="1" t="s">
        <v>46</v>
      </c>
    </row>
    <row r="4" spans="1:24" s="1" customFormat="1" ht="15.75">
      <c r="J4" s="1">
        <v>5082</v>
      </c>
      <c r="K4" s="1">
        <v>16515</v>
      </c>
      <c r="L4" s="1">
        <v>6776</v>
      </c>
      <c r="M4" s="1">
        <v>9592</v>
      </c>
      <c r="N4" s="1">
        <v>8190</v>
      </c>
      <c r="O4" s="1">
        <v>2092</v>
      </c>
      <c r="P4" s="1">
        <v>514</v>
      </c>
      <c r="Q4" s="1">
        <v>528</v>
      </c>
      <c r="R4" s="1">
        <v>6052</v>
      </c>
    </row>
    <row r="5" spans="1:24" s="9" customFormat="1" ht="15.75">
      <c r="A5" s="9">
        <v>1</v>
      </c>
      <c r="B5" s="9">
        <v>2020</v>
      </c>
      <c r="C5" s="9" t="s">
        <v>4</v>
      </c>
      <c r="D5" s="9" t="s">
        <v>5</v>
      </c>
      <c r="E5" s="9" t="s">
        <v>6</v>
      </c>
      <c r="F5" s="9" t="s">
        <v>7</v>
      </c>
      <c r="G5" s="9" t="s">
        <v>8</v>
      </c>
      <c r="H5" s="9" t="s">
        <v>9</v>
      </c>
      <c r="I5" s="9" t="s">
        <v>9</v>
      </c>
      <c r="J5" s="9">
        <v>4337</v>
      </c>
      <c r="K5" s="9">
        <v>6166</v>
      </c>
      <c r="L5" s="9">
        <v>6554</v>
      </c>
      <c r="M5" s="9">
        <v>9277</v>
      </c>
      <c r="N5" s="9">
        <v>8061</v>
      </c>
      <c r="O5" s="9">
        <v>2092</v>
      </c>
      <c r="P5" s="9">
        <v>514</v>
      </c>
      <c r="Q5" s="9">
        <v>528</v>
      </c>
      <c r="R5" s="9">
        <v>6052</v>
      </c>
      <c r="S5" s="9">
        <f>318.549+78.373</f>
        <v>396.92199999999997</v>
      </c>
      <c r="T5" s="9">
        <v>47.021000000000001</v>
      </c>
      <c r="U5" s="9">
        <v>71.947999999999993</v>
      </c>
      <c r="V5" s="9">
        <f t="shared" ref="V5:V27" si="0">S5+T5+U5</f>
        <v>515.89099999999996</v>
      </c>
      <c r="X5" s="8">
        <f>L5+M5+N5+O5+P5+Q5+R5</f>
        <v>33078</v>
      </c>
    </row>
    <row r="6" spans="1:24" s="5" customFormat="1">
      <c r="A6" s="5">
        <v>2</v>
      </c>
      <c r="B6" s="5">
        <v>2020</v>
      </c>
      <c r="C6" s="5" t="s">
        <v>4</v>
      </c>
      <c r="D6" s="5" t="s">
        <v>5</v>
      </c>
      <c r="E6" s="5" t="s">
        <v>6</v>
      </c>
      <c r="F6" s="5" t="s">
        <v>31</v>
      </c>
      <c r="G6" s="5" t="s">
        <v>8</v>
      </c>
      <c r="H6" s="5" t="s">
        <v>9</v>
      </c>
      <c r="I6" s="5" t="s">
        <v>9</v>
      </c>
      <c r="J6" s="5">
        <v>4337</v>
      </c>
      <c r="K6" s="5">
        <v>6166</v>
      </c>
      <c r="L6" s="5">
        <v>6776</v>
      </c>
      <c r="M6" s="5">
        <v>9277</v>
      </c>
      <c r="N6" s="5">
        <v>7921</v>
      </c>
      <c r="O6" s="5">
        <v>2027</v>
      </c>
      <c r="P6" s="5">
        <v>497</v>
      </c>
      <c r="Q6" s="5">
        <v>528</v>
      </c>
      <c r="R6" s="5">
        <v>6052</v>
      </c>
      <c r="S6" s="5">
        <f>308.485+78.373</f>
        <v>386.858</v>
      </c>
      <c r="T6" s="5">
        <v>47.021000000000001</v>
      </c>
      <c r="U6" s="5">
        <f>71.948</f>
        <v>71.947999999999993</v>
      </c>
      <c r="V6" s="5">
        <f t="shared" si="0"/>
        <v>505.827</v>
      </c>
      <c r="X6" s="4">
        <f t="shared" ref="X6:X30" si="1">L6+M6+N6+O6+P6+Q6+R6</f>
        <v>33078</v>
      </c>
    </row>
    <row r="7" spans="1:24" s="3" customFormat="1">
      <c r="A7" s="3">
        <v>3</v>
      </c>
      <c r="B7" s="3">
        <v>2020</v>
      </c>
      <c r="C7" s="3" t="s">
        <v>4</v>
      </c>
      <c r="D7" s="3" t="s">
        <v>5</v>
      </c>
      <c r="E7" s="3" t="s">
        <v>6</v>
      </c>
      <c r="F7" s="3" t="s">
        <v>32</v>
      </c>
      <c r="G7" s="3" t="s">
        <v>8</v>
      </c>
      <c r="H7" s="3" t="s">
        <v>9</v>
      </c>
      <c r="I7" s="3" t="s">
        <v>9</v>
      </c>
      <c r="J7" s="3">
        <v>4337</v>
      </c>
      <c r="K7" s="3">
        <v>6166</v>
      </c>
      <c r="L7" s="3">
        <v>6110</v>
      </c>
      <c r="M7" s="3">
        <v>9592</v>
      </c>
      <c r="N7" s="3">
        <v>8190</v>
      </c>
      <c r="O7" s="3">
        <v>2092</v>
      </c>
      <c r="P7" s="3">
        <v>514</v>
      </c>
      <c r="Q7" s="3">
        <v>528</v>
      </c>
      <c r="R7" s="3">
        <v>6052</v>
      </c>
      <c r="S7" s="3">
        <f>343.649+78.373</f>
        <v>422.02199999999999</v>
      </c>
      <c r="T7" s="3">
        <v>47.021000000000001</v>
      </c>
      <c r="U7" s="3">
        <v>71.947999999999993</v>
      </c>
      <c r="V7" s="3">
        <f t="shared" si="0"/>
        <v>540.99099999999999</v>
      </c>
      <c r="X7" s="4">
        <f t="shared" si="1"/>
        <v>33078</v>
      </c>
    </row>
    <row r="8" spans="1:24" s="5" customFormat="1">
      <c r="A8" s="5">
        <v>4</v>
      </c>
      <c r="B8" s="5">
        <v>2020</v>
      </c>
      <c r="C8" s="5" t="s">
        <v>4</v>
      </c>
      <c r="D8" s="5" t="s">
        <v>5</v>
      </c>
      <c r="E8" s="5" t="s">
        <v>6</v>
      </c>
      <c r="F8" s="5" t="s">
        <v>33</v>
      </c>
      <c r="G8" s="5" t="s">
        <v>8</v>
      </c>
      <c r="H8" s="5" t="s">
        <v>9</v>
      </c>
      <c r="I8" s="5" t="s">
        <v>9</v>
      </c>
      <c r="J8" s="5">
        <v>4426</v>
      </c>
      <c r="K8" s="5">
        <v>6166</v>
      </c>
      <c r="L8" s="5">
        <v>6465</v>
      </c>
      <c r="M8" s="5">
        <v>9592</v>
      </c>
      <c r="N8" s="5">
        <v>7921</v>
      </c>
      <c r="O8" s="5">
        <v>2023</v>
      </c>
      <c r="P8" s="5">
        <v>497</v>
      </c>
      <c r="Q8" s="5">
        <v>528</v>
      </c>
      <c r="R8" s="5">
        <v>6052</v>
      </c>
      <c r="S8" s="5">
        <f>304.302+78.373</f>
        <v>382.67500000000001</v>
      </c>
      <c r="T8" s="5">
        <v>47.021000000000001</v>
      </c>
      <c r="U8" s="5">
        <v>71.947999999999993</v>
      </c>
      <c r="V8" s="5">
        <f t="shared" si="0"/>
        <v>501.64400000000001</v>
      </c>
      <c r="X8" s="4">
        <f t="shared" si="1"/>
        <v>33078</v>
      </c>
    </row>
    <row r="9" spans="1:24" s="3" customFormat="1">
      <c r="A9" s="3">
        <v>5</v>
      </c>
      <c r="B9" s="3">
        <v>2020</v>
      </c>
      <c r="C9" s="3" t="s">
        <v>4</v>
      </c>
      <c r="D9" s="3" t="s">
        <v>5</v>
      </c>
      <c r="E9" s="3" t="s">
        <v>6</v>
      </c>
      <c r="F9" s="3" t="s">
        <v>34</v>
      </c>
      <c r="G9" s="3" t="s">
        <v>8</v>
      </c>
      <c r="H9" s="3" t="s">
        <v>9</v>
      </c>
      <c r="I9" s="3" t="s">
        <v>9</v>
      </c>
      <c r="J9" s="3">
        <v>4337</v>
      </c>
      <c r="K9" s="3">
        <v>6166</v>
      </c>
      <c r="L9" s="3">
        <v>6776</v>
      </c>
      <c r="M9" s="3">
        <v>8926</v>
      </c>
      <c r="N9" s="3">
        <v>8190</v>
      </c>
      <c r="O9" s="3">
        <v>2092</v>
      </c>
      <c r="P9" s="3">
        <v>514</v>
      </c>
      <c r="Q9" s="3">
        <v>528</v>
      </c>
      <c r="R9" s="3">
        <v>6052</v>
      </c>
      <c r="S9" s="3">
        <f>354.082+78.373</f>
        <v>432.45499999999998</v>
      </c>
      <c r="T9" s="3">
        <v>47.021000000000001</v>
      </c>
      <c r="U9" s="3">
        <f>71.948</f>
        <v>71.947999999999993</v>
      </c>
      <c r="V9" s="3">
        <f t="shared" si="0"/>
        <v>551.42399999999998</v>
      </c>
      <c r="X9" s="4">
        <f t="shared" si="1"/>
        <v>33078</v>
      </c>
    </row>
    <row r="10" spans="1:24" s="5" customFormat="1">
      <c r="A10" s="5">
        <v>6</v>
      </c>
      <c r="B10" s="5">
        <v>2020</v>
      </c>
      <c r="C10" s="5" t="s">
        <v>4</v>
      </c>
      <c r="D10" s="5" t="s">
        <v>5</v>
      </c>
      <c r="E10" s="5" t="s">
        <v>6</v>
      </c>
      <c r="F10" s="5" t="s">
        <v>35</v>
      </c>
      <c r="G10" s="5" t="s">
        <v>8</v>
      </c>
      <c r="H10" s="5" t="s">
        <v>9</v>
      </c>
      <c r="I10" s="5" t="s">
        <v>9</v>
      </c>
      <c r="J10" s="5">
        <v>4380</v>
      </c>
      <c r="K10" s="5">
        <v>6166</v>
      </c>
      <c r="L10" s="5">
        <v>6554</v>
      </c>
      <c r="M10" s="5">
        <v>9234</v>
      </c>
      <c r="N10" s="5">
        <v>8190</v>
      </c>
      <c r="O10" s="5">
        <v>2023</v>
      </c>
      <c r="P10" s="5">
        <v>497</v>
      </c>
      <c r="Q10" s="5">
        <v>528</v>
      </c>
      <c r="R10" s="5">
        <v>6052</v>
      </c>
      <c r="S10" s="5">
        <f>306.385+78.373</f>
        <v>384.75799999999998</v>
      </c>
      <c r="T10" s="5">
        <v>47.021000000000001</v>
      </c>
      <c r="U10" s="5">
        <f>71.948</f>
        <v>71.947999999999993</v>
      </c>
      <c r="V10" s="5">
        <f t="shared" si="0"/>
        <v>503.72699999999998</v>
      </c>
      <c r="X10" s="4">
        <f t="shared" si="1"/>
        <v>33078</v>
      </c>
    </row>
    <row r="11" spans="1:24" s="3" customFormat="1">
      <c r="A11" s="3">
        <v>7</v>
      </c>
      <c r="B11" s="3">
        <v>2020</v>
      </c>
      <c r="C11" s="3" t="s">
        <v>4</v>
      </c>
      <c r="D11" s="3" t="s">
        <v>5</v>
      </c>
      <c r="E11" s="3" t="s">
        <v>6</v>
      </c>
      <c r="F11" s="3" t="s">
        <v>36</v>
      </c>
      <c r="G11" s="3" t="s">
        <v>8</v>
      </c>
      <c r="H11" s="3" t="s">
        <v>9</v>
      </c>
      <c r="I11" s="3" t="s">
        <v>9</v>
      </c>
      <c r="J11" s="3">
        <v>4337</v>
      </c>
      <c r="K11" s="3">
        <v>6166</v>
      </c>
      <c r="L11" s="3">
        <v>6776</v>
      </c>
      <c r="M11" s="3">
        <v>9592</v>
      </c>
      <c r="N11" s="3">
        <v>7524</v>
      </c>
      <c r="O11" s="3">
        <v>2092</v>
      </c>
      <c r="P11" s="3">
        <v>514</v>
      </c>
      <c r="Q11" s="3">
        <v>528</v>
      </c>
      <c r="R11" s="3">
        <v>6052</v>
      </c>
      <c r="S11" s="3">
        <f>348.888+78.373</f>
        <v>427.26099999999997</v>
      </c>
      <c r="T11" s="3">
        <v>47.021000000000001</v>
      </c>
      <c r="U11" s="3">
        <v>71.947999999999993</v>
      </c>
      <c r="V11" s="3">
        <f t="shared" si="0"/>
        <v>546.23</v>
      </c>
      <c r="X11" s="4">
        <f t="shared" si="1"/>
        <v>33078</v>
      </c>
    </row>
    <row r="12" spans="1:24" s="5" customFormat="1">
      <c r="A12" s="5">
        <v>8</v>
      </c>
      <c r="B12" s="5">
        <v>2020</v>
      </c>
      <c r="C12" s="5" t="s">
        <v>4</v>
      </c>
      <c r="D12" s="5" t="s">
        <v>5</v>
      </c>
      <c r="E12" s="5" t="s">
        <v>6</v>
      </c>
      <c r="F12" s="5" t="s">
        <v>37</v>
      </c>
      <c r="G12" s="5" t="s">
        <v>8</v>
      </c>
      <c r="H12" s="5" t="s">
        <v>9</v>
      </c>
      <c r="I12" s="5" t="s">
        <v>9</v>
      </c>
      <c r="J12" s="5">
        <v>4337</v>
      </c>
      <c r="K12" s="5">
        <v>6166</v>
      </c>
      <c r="L12" s="5">
        <v>6554</v>
      </c>
      <c r="M12" s="5">
        <v>9277</v>
      </c>
      <c r="N12" s="5">
        <v>8061</v>
      </c>
      <c r="O12" s="5">
        <v>2092</v>
      </c>
      <c r="P12" s="5">
        <v>514</v>
      </c>
      <c r="Q12" s="5">
        <v>528</v>
      </c>
      <c r="R12" s="5">
        <v>6052</v>
      </c>
      <c r="S12" s="5">
        <f>314.678+78.373</f>
        <v>393.05099999999999</v>
      </c>
      <c r="T12" s="5">
        <f>47.021</f>
        <v>47.021000000000001</v>
      </c>
      <c r="U12" s="5">
        <f>71.948</f>
        <v>71.947999999999993</v>
      </c>
      <c r="V12" s="5">
        <f t="shared" si="0"/>
        <v>512.02</v>
      </c>
      <c r="X12" s="4">
        <f t="shared" si="1"/>
        <v>33078</v>
      </c>
    </row>
    <row r="13" spans="1:24" s="3" customFormat="1">
      <c r="A13" s="3">
        <v>9</v>
      </c>
      <c r="B13" s="3">
        <v>2020</v>
      </c>
      <c r="C13" s="3" t="s">
        <v>4</v>
      </c>
      <c r="D13" s="3" t="s">
        <v>5</v>
      </c>
      <c r="E13" s="3" t="s">
        <v>6</v>
      </c>
      <c r="F13" s="3" t="s">
        <v>38</v>
      </c>
      <c r="G13" s="3" t="s">
        <v>8</v>
      </c>
      <c r="H13" s="3" t="s">
        <v>9</v>
      </c>
      <c r="I13" s="3" t="s">
        <v>9</v>
      </c>
      <c r="J13" s="3">
        <v>4337</v>
      </c>
      <c r="K13" s="3">
        <v>6166</v>
      </c>
      <c r="L13" s="3">
        <v>6776</v>
      </c>
      <c r="M13" s="3">
        <v>9592</v>
      </c>
      <c r="N13" s="3">
        <v>8190</v>
      </c>
      <c r="O13" s="3">
        <v>1631</v>
      </c>
      <c r="P13" s="3">
        <v>308</v>
      </c>
      <c r="Q13" s="3">
        <v>528</v>
      </c>
      <c r="R13" s="3">
        <v>6052</v>
      </c>
      <c r="S13" s="3">
        <f>328.2+78.373</f>
        <v>406.57299999999998</v>
      </c>
      <c r="T13" s="3">
        <f>47.021</f>
        <v>47.021000000000001</v>
      </c>
      <c r="U13" s="3">
        <f>71.948</f>
        <v>71.947999999999993</v>
      </c>
      <c r="V13" s="3">
        <f t="shared" si="0"/>
        <v>525.54200000000003</v>
      </c>
      <c r="X13" s="4">
        <f t="shared" si="1"/>
        <v>33077</v>
      </c>
    </row>
    <row r="14" spans="1:24" s="1" customFormat="1" ht="15.75">
      <c r="A14" s="1">
        <v>10</v>
      </c>
      <c r="B14" s="7">
        <v>2020</v>
      </c>
      <c r="C14" s="7" t="s">
        <v>4</v>
      </c>
      <c r="D14" s="7" t="s">
        <v>39</v>
      </c>
      <c r="E14" s="7" t="s">
        <v>6</v>
      </c>
      <c r="F14" s="7" t="s">
        <v>7</v>
      </c>
      <c r="G14" s="7" t="s">
        <v>8</v>
      </c>
      <c r="H14" s="7" t="s">
        <v>9</v>
      </c>
      <c r="I14" s="7" t="s">
        <v>9</v>
      </c>
      <c r="J14" s="7">
        <v>3542</v>
      </c>
      <c r="K14" s="7">
        <v>14300</v>
      </c>
      <c r="L14" s="7">
        <v>5840</v>
      </c>
      <c r="M14" s="7">
        <v>7621</v>
      </c>
      <c r="N14" s="11">
        <v>6507</v>
      </c>
      <c r="O14" s="11">
        <v>1662</v>
      </c>
      <c r="P14" s="11">
        <v>408</v>
      </c>
      <c r="Q14" s="7">
        <v>472</v>
      </c>
      <c r="R14" s="7">
        <v>6052</v>
      </c>
      <c r="S14" s="1">
        <f>330.663+100.161</f>
        <v>430.82400000000001</v>
      </c>
      <c r="T14" s="1">
        <f>89.448</f>
        <v>89.447999999999993</v>
      </c>
      <c r="U14" s="7">
        <f t="shared" ref="U14:U23" si="2">35.481</f>
        <v>35.481000000000002</v>
      </c>
      <c r="V14" s="1">
        <f t="shared" si="0"/>
        <v>555.75300000000004</v>
      </c>
      <c r="X14" s="8">
        <f t="shared" si="1"/>
        <v>28562</v>
      </c>
    </row>
    <row r="15" spans="1:24" s="3" customFormat="1">
      <c r="A15" s="3">
        <v>11</v>
      </c>
      <c r="B15" s="3">
        <v>2020</v>
      </c>
      <c r="C15" s="3" t="s">
        <v>4</v>
      </c>
      <c r="D15" s="3" t="s">
        <v>39</v>
      </c>
      <c r="E15" s="3" t="s">
        <v>6</v>
      </c>
      <c r="F15" s="3" t="s">
        <v>31</v>
      </c>
      <c r="G15" s="3" t="s">
        <v>8</v>
      </c>
      <c r="H15" s="3" t="s">
        <v>9</v>
      </c>
      <c r="I15" s="3" t="s">
        <v>9</v>
      </c>
      <c r="J15" s="3">
        <v>3763</v>
      </c>
      <c r="K15" s="3">
        <v>14300</v>
      </c>
      <c r="L15" s="3">
        <v>6776</v>
      </c>
      <c r="M15" s="3">
        <v>7187</v>
      </c>
      <c r="N15" s="12">
        <v>6148</v>
      </c>
      <c r="O15" s="12">
        <v>1567</v>
      </c>
      <c r="P15" s="12">
        <v>388</v>
      </c>
      <c r="Q15" s="3">
        <v>445</v>
      </c>
      <c r="R15" s="3">
        <v>6052</v>
      </c>
      <c r="S15" s="3">
        <f>315.136+100.16</f>
        <v>415.29600000000005</v>
      </c>
      <c r="T15" s="3">
        <f>89.447</f>
        <v>89.447000000000003</v>
      </c>
      <c r="U15" s="3">
        <f t="shared" si="2"/>
        <v>35.481000000000002</v>
      </c>
      <c r="V15" s="3">
        <f t="shared" si="0"/>
        <v>540.22400000000005</v>
      </c>
      <c r="X15" s="4">
        <f t="shared" si="1"/>
        <v>28563</v>
      </c>
    </row>
    <row r="16" spans="1:24">
      <c r="A16">
        <v>12</v>
      </c>
      <c r="B16">
        <v>2020</v>
      </c>
      <c r="C16" t="s">
        <v>4</v>
      </c>
      <c r="D16" t="s">
        <v>39</v>
      </c>
      <c r="E16" t="s">
        <v>6</v>
      </c>
      <c r="F16" t="s">
        <v>32</v>
      </c>
      <c r="G16" t="s">
        <v>8</v>
      </c>
      <c r="H16" t="s">
        <v>9</v>
      </c>
      <c r="I16" t="s">
        <v>9</v>
      </c>
      <c r="J16" s="5">
        <v>1528</v>
      </c>
      <c r="K16" s="5">
        <v>14300</v>
      </c>
      <c r="L16" s="5">
        <v>4066</v>
      </c>
      <c r="M16" s="5">
        <v>8287</v>
      </c>
      <c r="N16" s="12">
        <v>7349</v>
      </c>
      <c r="O16" s="12">
        <v>1877</v>
      </c>
      <c r="P16" s="12">
        <v>461</v>
      </c>
      <c r="Q16" s="5">
        <v>472</v>
      </c>
      <c r="R16" s="5">
        <v>6052</v>
      </c>
      <c r="S16">
        <f>359.589+100.16</f>
        <v>459.74900000000002</v>
      </c>
      <c r="T16">
        <f>89.448</f>
        <v>89.447999999999993</v>
      </c>
      <c r="U16">
        <f t="shared" si="2"/>
        <v>35.481000000000002</v>
      </c>
      <c r="V16">
        <f t="shared" si="0"/>
        <v>584.678</v>
      </c>
      <c r="X16" s="4">
        <f t="shared" si="1"/>
        <v>28564</v>
      </c>
    </row>
    <row r="17" spans="1:24" s="3" customFormat="1">
      <c r="A17" s="3">
        <v>13</v>
      </c>
      <c r="B17" s="3">
        <v>2020</v>
      </c>
      <c r="C17" s="3" t="s">
        <v>4</v>
      </c>
      <c r="D17" s="3" t="s">
        <v>39</v>
      </c>
      <c r="E17" s="3" t="s">
        <v>6</v>
      </c>
      <c r="F17" s="3" t="s">
        <v>33</v>
      </c>
      <c r="G17" s="3" t="s">
        <v>8</v>
      </c>
      <c r="H17" s="3" t="s">
        <v>9</v>
      </c>
      <c r="I17" s="3" t="s">
        <v>9</v>
      </c>
      <c r="J17" s="3">
        <v>3734</v>
      </c>
      <c r="K17" s="3">
        <v>14300</v>
      </c>
      <c r="L17" s="3">
        <v>4808</v>
      </c>
      <c r="M17" s="3">
        <v>9592</v>
      </c>
      <c r="N17" s="12">
        <v>5830</v>
      </c>
      <c r="O17" s="12">
        <v>1496</v>
      </c>
      <c r="P17" s="12">
        <v>365</v>
      </c>
      <c r="Q17" s="3">
        <v>420</v>
      </c>
      <c r="R17" s="3">
        <v>6052</v>
      </c>
      <c r="S17" s="3">
        <f>309.426+100.161</f>
        <v>409.58699999999999</v>
      </c>
      <c r="T17" s="3">
        <f>89.448</f>
        <v>89.447999999999993</v>
      </c>
      <c r="U17" s="3">
        <f t="shared" si="2"/>
        <v>35.481000000000002</v>
      </c>
      <c r="V17" s="3">
        <f t="shared" si="0"/>
        <v>534.51599999999996</v>
      </c>
      <c r="X17" s="4">
        <f t="shared" si="1"/>
        <v>28563</v>
      </c>
    </row>
    <row r="18" spans="1:24">
      <c r="A18">
        <v>14</v>
      </c>
      <c r="B18">
        <v>2020</v>
      </c>
      <c r="C18" t="s">
        <v>4</v>
      </c>
      <c r="D18" t="s">
        <v>39</v>
      </c>
      <c r="E18" t="s">
        <v>6</v>
      </c>
      <c r="F18" t="s">
        <v>34</v>
      </c>
      <c r="G18" t="s">
        <v>8</v>
      </c>
      <c r="H18" t="s">
        <v>9</v>
      </c>
      <c r="I18" t="s">
        <v>9</v>
      </c>
      <c r="J18" s="5">
        <v>1457</v>
      </c>
      <c r="K18" s="5">
        <v>14300</v>
      </c>
      <c r="L18" s="5">
        <v>6597</v>
      </c>
      <c r="M18" s="5">
        <v>5755</v>
      </c>
      <c r="N18" s="12">
        <v>7349</v>
      </c>
      <c r="O18" s="12">
        <v>1877</v>
      </c>
      <c r="P18" s="12">
        <v>461</v>
      </c>
      <c r="Q18" s="5">
        <v>472</v>
      </c>
      <c r="R18" s="5">
        <v>6052</v>
      </c>
      <c r="S18">
        <f>371.61+100.161</f>
        <v>471.77100000000002</v>
      </c>
      <c r="T18">
        <f>89.448</f>
        <v>89.447999999999993</v>
      </c>
      <c r="U18" s="3">
        <f t="shared" si="2"/>
        <v>35.481000000000002</v>
      </c>
      <c r="V18">
        <f t="shared" si="0"/>
        <v>596.70000000000005</v>
      </c>
      <c r="X18" s="4">
        <f t="shared" si="1"/>
        <v>28563</v>
      </c>
    </row>
    <row r="19" spans="1:24" s="3" customFormat="1">
      <c r="A19" s="3">
        <v>15</v>
      </c>
      <c r="B19" s="3">
        <v>2020</v>
      </c>
      <c r="C19" s="3" t="s">
        <v>4</v>
      </c>
      <c r="D19" s="3" t="s">
        <v>39</v>
      </c>
      <c r="E19" s="3" t="s">
        <v>6</v>
      </c>
      <c r="F19" s="3" t="s">
        <v>35</v>
      </c>
      <c r="G19" s="3" t="s">
        <v>8</v>
      </c>
      <c r="H19" s="3" t="s">
        <v>9</v>
      </c>
      <c r="I19" s="3" t="s">
        <v>9</v>
      </c>
      <c r="J19" s="3">
        <v>3719</v>
      </c>
      <c r="K19" s="3">
        <v>14300</v>
      </c>
      <c r="L19" s="3">
        <v>4962</v>
      </c>
      <c r="M19" s="3">
        <v>7019</v>
      </c>
      <c r="N19" s="12">
        <v>8190</v>
      </c>
      <c r="O19" s="12">
        <v>1532</v>
      </c>
      <c r="P19" s="12">
        <v>376</v>
      </c>
      <c r="Q19" s="3">
        <v>432</v>
      </c>
      <c r="R19" s="3">
        <v>6052</v>
      </c>
      <c r="S19" s="3">
        <f>312.191+100.16</f>
        <v>412.351</v>
      </c>
      <c r="T19" s="3">
        <f>89.448</f>
        <v>89.447999999999993</v>
      </c>
      <c r="U19" s="3">
        <f t="shared" si="2"/>
        <v>35.481000000000002</v>
      </c>
      <c r="V19" s="3">
        <f t="shared" si="0"/>
        <v>537.28</v>
      </c>
      <c r="X19" s="4">
        <f t="shared" si="1"/>
        <v>28563</v>
      </c>
    </row>
    <row r="20" spans="1:24">
      <c r="A20">
        <v>16</v>
      </c>
      <c r="B20">
        <v>2020</v>
      </c>
      <c r="C20" t="s">
        <v>4</v>
      </c>
      <c r="D20" t="s">
        <v>39</v>
      </c>
      <c r="E20" t="s">
        <v>6</v>
      </c>
      <c r="F20" t="s">
        <v>36</v>
      </c>
      <c r="G20" t="s">
        <v>8</v>
      </c>
      <c r="H20" t="s">
        <v>9</v>
      </c>
      <c r="I20" t="s">
        <v>9</v>
      </c>
      <c r="J20" s="5">
        <v>1310</v>
      </c>
      <c r="K20" s="5">
        <v>14300</v>
      </c>
      <c r="L20" s="5">
        <v>6080</v>
      </c>
      <c r="M20" s="5">
        <v>8607</v>
      </c>
      <c r="N20" s="12">
        <v>4914</v>
      </c>
      <c r="O20" s="12">
        <v>1925</v>
      </c>
      <c r="P20" s="12">
        <v>514</v>
      </c>
      <c r="Q20" s="5">
        <v>472</v>
      </c>
      <c r="R20" s="5">
        <v>6052</v>
      </c>
      <c r="S20">
        <f>365.625+100.161</f>
        <v>465.786</v>
      </c>
      <c r="T20">
        <f>89.448</f>
        <v>89.447999999999993</v>
      </c>
      <c r="U20" s="3">
        <f t="shared" si="2"/>
        <v>35.481000000000002</v>
      </c>
      <c r="V20">
        <f t="shared" si="0"/>
        <v>590.71500000000003</v>
      </c>
      <c r="X20" s="4">
        <f t="shared" si="1"/>
        <v>28564</v>
      </c>
    </row>
    <row r="21" spans="1:24" s="3" customFormat="1">
      <c r="A21" s="3">
        <v>17</v>
      </c>
      <c r="B21" s="3">
        <v>2020</v>
      </c>
      <c r="C21" s="3" t="s">
        <v>4</v>
      </c>
      <c r="D21" s="3" t="s">
        <v>39</v>
      </c>
      <c r="E21" s="3" t="s">
        <v>6</v>
      </c>
      <c r="F21" s="3" t="s">
        <v>37</v>
      </c>
      <c r="G21" s="3" t="s">
        <v>8</v>
      </c>
      <c r="H21" s="3" t="s">
        <v>9</v>
      </c>
      <c r="I21" s="3" t="s">
        <v>9</v>
      </c>
      <c r="J21" s="3">
        <v>3734</v>
      </c>
      <c r="K21" s="3">
        <v>14300</v>
      </c>
      <c r="L21" s="3">
        <v>5384</v>
      </c>
      <c r="M21" s="3">
        <v>7567</v>
      </c>
      <c r="N21" s="12">
        <v>6489</v>
      </c>
      <c r="O21" s="12">
        <v>2092</v>
      </c>
      <c r="P21" s="12">
        <v>514</v>
      </c>
      <c r="Q21" s="3">
        <v>465</v>
      </c>
      <c r="R21" s="3">
        <v>6052</v>
      </c>
      <c r="S21" s="3">
        <f>324.525+100.16</f>
        <v>424.68499999999995</v>
      </c>
      <c r="T21" s="3">
        <f>89.447</f>
        <v>89.447000000000003</v>
      </c>
      <c r="U21" s="3">
        <f t="shared" si="2"/>
        <v>35.481000000000002</v>
      </c>
      <c r="V21" s="3">
        <f t="shared" si="0"/>
        <v>549.61299999999994</v>
      </c>
      <c r="X21" s="4">
        <f t="shared" si="1"/>
        <v>28563</v>
      </c>
    </row>
    <row r="22" spans="1:24">
      <c r="A22">
        <v>18</v>
      </c>
      <c r="B22">
        <v>2020</v>
      </c>
      <c r="C22" t="s">
        <v>4</v>
      </c>
      <c r="D22" t="s">
        <v>39</v>
      </c>
      <c r="E22" t="s">
        <v>6</v>
      </c>
      <c r="F22" t="s">
        <v>38</v>
      </c>
      <c r="G22" t="s">
        <v>8</v>
      </c>
      <c r="H22" t="s">
        <v>9</v>
      </c>
      <c r="I22" t="s">
        <v>9</v>
      </c>
      <c r="J22" s="5">
        <v>2768</v>
      </c>
      <c r="K22" s="5">
        <v>14300</v>
      </c>
      <c r="L22" s="5">
        <v>5665</v>
      </c>
      <c r="M22" s="5">
        <v>7621</v>
      </c>
      <c r="N22" s="12">
        <v>7189</v>
      </c>
      <c r="O22" s="12">
        <v>1255</v>
      </c>
      <c r="P22" s="12">
        <v>308</v>
      </c>
      <c r="Q22" s="5">
        <v>472</v>
      </c>
      <c r="R22" s="5">
        <v>6052</v>
      </c>
      <c r="S22">
        <f>341.788+100.161</f>
        <v>441.94900000000001</v>
      </c>
      <c r="T22">
        <f>89.448</f>
        <v>89.447999999999993</v>
      </c>
      <c r="U22" s="3">
        <f t="shared" si="2"/>
        <v>35.481000000000002</v>
      </c>
      <c r="V22">
        <f t="shared" si="0"/>
        <v>566.87800000000004</v>
      </c>
      <c r="X22" s="4">
        <f t="shared" si="1"/>
        <v>28562</v>
      </c>
    </row>
    <row r="23" spans="1:24" s="9" customFormat="1" ht="15.75">
      <c r="A23" s="9">
        <v>19</v>
      </c>
      <c r="B23" s="9">
        <v>2020</v>
      </c>
      <c r="C23" s="9" t="s">
        <v>4</v>
      </c>
      <c r="D23" s="9" t="s">
        <v>39</v>
      </c>
      <c r="E23" s="9" t="s">
        <v>6</v>
      </c>
      <c r="F23" s="9" t="s">
        <v>7</v>
      </c>
      <c r="G23" s="9" t="s">
        <v>8</v>
      </c>
      <c r="H23" s="9" t="s">
        <v>40</v>
      </c>
      <c r="I23" s="9" t="s">
        <v>9</v>
      </c>
      <c r="J23" s="9">
        <v>3529</v>
      </c>
      <c r="K23" s="9">
        <v>14300</v>
      </c>
      <c r="L23" s="9">
        <v>5867</v>
      </c>
      <c r="M23" s="9">
        <v>7621</v>
      </c>
      <c r="N23" s="11">
        <v>6507</v>
      </c>
      <c r="O23" s="11">
        <v>1662</v>
      </c>
      <c r="P23" s="11">
        <v>408</v>
      </c>
      <c r="Q23" s="11">
        <v>445</v>
      </c>
      <c r="R23" s="9">
        <v>6052</v>
      </c>
      <c r="S23" s="9">
        <f>330.676+100.161</f>
        <v>430.83699999999999</v>
      </c>
      <c r="T23" s="9">
        <f>89.448</f>
        <v>89.447999999999993</v>
      </c>
      <c r="U23" s="9">
        <f t="shared" si="2"/>
        <v>35.481000000000002</v>
      </c>
      <c r="V23" s="9">
        <f t="shared" si="0"/>
        <v>555.76599999999996</v>
      </c>
      <c r="X23" s="8">
        <f t="shared" si="1"/>
        <v>28562</v>
      </c>
    </row>
    <row r="24" spans="1:24" s="7" customFormat="1" ht="15.75">
      <c r="A24" s="7">
        <v>20</v>
      </c>
      <c r="B24" s="7">
        <v>2020</v>
      </c>
      <c r="C24" s="7" t="s">
        <v>4</v>
      </c>
      <c r="D24" s="7" t="s">
        <v>39</v>
      </c>
      <c r="E24" s="7" t="s">
        <v>6</v>
      </c>
      <c r="F24" s="7" t="s">
        <v>7</v>
      </c>
      <c r="G24" s="7" t="s">
        <v>8</v>
      </c>
      <c r="H24" s="9" t="s">
        <v>41</v>
      </c>
      <c r="I24" s="7" t="s">
        <v>9</v>
      </c>
      <c r="J24" s="7">
        <v>3420</v>
      </c>
      <c r="K24" s="7">
        <v>14300</v>
      </c>
      <c r="L24" s="11">
        <v>6080</v>
      </c>
      <c r="M24" s="11">
        <v>7404</v>
      </c>
      <c r="N24" s="11">
        <v>6507</v>
      </c>
      <c r="O24" s="7">
        <v>1666</v>
      </c>
      <c r="P24" s="11">
        <v>408</v>
      </c>
      <c r="Q24" s="11">
        <v>445</v>
      </c>
      <c r="R24" s="7">
        <v>6052</v>
      </c>
      <c r="S24" s="7">
        <f>330.729+100.161</f>
        <v>430.89</v>
      </c>
      <c r="T24" s="7">
        <f>89.4</f>
        <v>89.4</v>
      </c>
      <c r="U24" s="7">
        <f>35.5</f>
        <v>35.5</v>
      </c>
      <c r="V24" s="7">
        <f t="shared" si="0"/>
        <v>555.79</v>
      </c>
      <c r="X24" s="10">
        <f t="shared" ref="X24" si="3">L24+M24+N24+O24+P24+Q24+R24</f>
        <v>28562</v>
      </c>
    </row>
    <row r="25" spans="1:24" s="9" customFormat="1" ht="15.75">
      <c r="A25" s="9">
        <v>21</v>
      </c>
      <c r="B25" s="9">
        <v>2020</v>
      </c>
      <c r="C25" s="9" t="s">
        <v>4</v>
      </c>
      <c r="D25" s="9" t="s">
        <v>39</v>
      </c>
      <c r="E25" s="9" t="s">
        <v>6</v>
      </c>
      <c r="F25" s="9" t="s">
        <v>7</v>
      </c>
      <c r="G25" s="9" t="s">
        <v>8</v>
      </c>
      <c r="H25" s="9" t="s">
        <v>42</v>
      </c>
      <c r="I25" s="9" t="s">
        <v>9</v>
      </c>
      <c r="J25" s="9">
        <v>3420</v>
      </c>
      <c r="K25" s="9">
        <v>14300</v>
      </c>
      <c r="L25" s="11">
        <v>6080</v>
      </c>
      <c r="M25" s="11">
        <v>7404</v>
      </c>
      <c r="N25" s="9">
        <v>6511</v>
      </c>
      <c r="O25" s="11">
        <v>1662</v>
      </c>
      <c r="P25" s="11">
        <v>408</v>
      </c>
      <c r="Q25" s="11">
        <v>445</v>
      </c>
      <c r="R25" s="9">
        <v>6052</v>
      </c>
      <c r="S25" s="9">
        <f>330.73+100.161</f>
        <v>430.89100000000002</v>
      </c>
      <c r="T25" s="9">
        <f>89.4</f>
        <v>89.4</v>
      </c>
      <c r="U25" s="9">
        <f>35.5</f>
        <v>35.5</v>
      </c>
      <c r="V25" s="9">
        <f t="shared" si="0"/>
        <v>555.79100000000005</v>
      </c>
      <c r="X25" s="8">
        <f t="shared" ref="X25" si="4">L25+M25+N25+O25+P25+Q25+R25</f>
        <v>28562</v>
      </c>
    </row>
    <row r="26" spans="1:24" s="5" customFormat="1" ht="15.75">
      <c r="A26" s="7">
        <v>22</v>
      </c>
      <c r="B26" s="7">
        <v>2020</v>
      </c>
      <c r="C26" s="7" t="s">
        <v>4</v>
      </c>
      <c r="D26" s="7" t="s">
        <v>39</v>
      </c>
      <c r="E26" s="7" t="s">
        <v>6</v>
      </c>
      <c r="F26" s="7" t="s">
        <v>7</v>
      </c>
      <c r="G26" s="7" t="s">
        <v>8</v>
      </c>
      <c r="H26" s="9" t="s">
        <v>43</v>
      </c>
      <c r="I26" s="7" t="s">
        <v>9</v>
      </c>
      <c r="J26" s="7">
        <v>3392</v>
      </c>
      <c r="K26" s="7">
        <v>14300</v>
      </c>
      <c r="L26" s="7">
        <v>5365</v>
      </c>
      <c r="M26" s="7">
        <v>7464</v>
      </c>
      <c r="N26" s="7">
        <v>7114</v>
      </c>
      <c r="O26" s="11">
        <v>1662</v>
      </c>
      <c r="P26" s="7">
        <v>461</v>
      </c>
      <c r="Q26" s="11">
        <v>445</v>
      </c>
      <c r="R26" s="7">
        <v>6052</v>
      </c>
      <c r="S26" s="5">
        <f>330.713+100.16</f>
        <v>430.87300000000005</v>
      </c>
      <c r="T26" s="7">
        <f>89.4</f>
        <v>89.4</v>
      </c>
      <c r="U26" s="7">
        <f>35.5</f>
        <v>35.5</v>
      </c>
      <c r="V26" s="5">
        <f t="shared" si="0"/>
        <v>555.77300000000002</v>
      </c>
      <c r="X26" s="6">
        <f t="shared" si="1"/>
        <v>28563</v>
      </c>
    </row>
    <row r="27" spans="1:24" ht="15.75">
      <c r="A27" s="9">
        <v>23</v>
      </c>
      <c r="B27" s="9">
        <v>2020</v>
      </c>
      <c r="C27" s="9" t="s">
        <v>4</v>
      </c>
      <c r="D27" s="9" t="s">
        <v>39</v>
      </c>
      <c r="E27" s="9" t="s">
        <v>6</v>
      </c>
      <c r="F27" s="9" t="s">
        <v>7</v>
      </c>
      <c r="G27" s="9" t="s">
        <v>8</v>
      </c>
      <c r="H27" s="9" t="s">
        <v>44</v>
      </c>
      <c r="I27" s="9" t="s">
        <v>9</v>
      </c>
      <c r="J27" s="9">
        <v>3445</v>
      </c>
      <c r="K27" s="9">
        <v>14300</v>
      </c>
      <c r="L27" s="9">
        <v>5880</v>
      </c>
      <c r="M27" s="9">
        <v>7555</v>
      </c>
      <c r="N27" s="9">
        <v>6507</v>
      </c>
      <c r="O27" s="9">
        <v>1662</v>
      </c>
      <c r="P27" s="9">
        <v>461</v>
      </c>
      <c r="Q27" s="11">
        <v>445</v>
      </c>
      <c r="R27" s="9">
        <v>6052</v>
      </c>
      <c r="S27">
        <f>330.689+100.161</f>
        <v>430.85</v>
      </c>
      <c r="T27" s="9">
        <f>89.4</f>
        <v>89.4</v>
      </c>
      <c r="U27" s="9">
        <f>35.5</f>
        <v>35.5</v>
      </c>
      <c r="V27">
        <f t="shared" si="0"/>
        <v>555.75</v>
      </c>
      <c r="X27" s="4">
        <f t="shared" si="1"/>
        <v>28562</v>
      </c>
    </row>
    <row r="28" spans="1:24" ht="15.75">
      <c r="A28" s="7">
        <v>24</v>
      </c>
      <c r="B28" s="9">
        <v>2020</v>
      </c>
      <c r="C28" s="9" t="s">
        <v>4</v>
      </c>
      <c r="D28" s="9" t="s">
        <v>39</v>
      </c>
      <c r="E28" s="9" t="s">
        <v>6</v>
      </c>
      <c r="F28" s="9" t="s">
        <v>7</v>
      </c>
      <c r="G28" s="9" t="s">
        <v>8</v>
      </c>
      <c r="H28" s="9" t="s">
        <v>44</v>
      </c>
      <c r="I28" s="13" t="s">
        <v>45</v>
      </c>
      <c r="J28" s="7">
        <v>3214</v>
      </c>
      <c r="K28" s="7">
        <v>14300</v>
      </c>
      <c r="L28">
        <v>6003</v>
      </c>
      <c r="M28">
        <v>7513</v>
      </c>
      <c r="N28">
        <v>6415</v>
      </c>
      <c r="O28" s="11">
        <v>1687</v>
      </c>
      <c r="P28" s="11">
        <v>455</v>
      </c>
      <c r="Q28" s="11">
        <v>438</v>
      </c>
      <c r="R28" s="7">
        <v>6052</v>
      </c>
      <c r="X28" s="4">
        <f t="shared" si="1"/>
        <v>28563</v>
      </c>
    </row>
    <row r="29" spans="1:24">
      <c r="X29" s="4">
        <f t="shared" si="1"/>
        <v>0</v>
      </c>
    </row>
    <row r="30" spans="1:24">
      <c r="X30" s="4">
        <f t="shared" si="1"/>
        <v>0</v>
      </c>
    </row>
    <row r="31" spans="1:24">
      <c r="X31" s="2">
        <f t="shared" ref="X31:X37" si="5">K31+L31+M31+N31+O31+P31+Q31+R31</f>
        <v>0</v>
      </c>
    </row>
    <row r="32" spans="1:24">
      <c r="X32" s="2">
        <f t="shared" si="5"/>
        <v>0</v>
      </c>
    </row>
    <row r="33" spans="24:24">
      <c r="X33" s="2">
        <f t="shared" si="5"/>
        <v>0</v>
      </c>
    </row>
    <row r="34" spans="24:24">
      <c r="X34" s="2">
        <f t="shared" si="5"/>
        <v>0</v>
      </c>
    </row>
    <row r="35" spans="24:24">
      <c r="X35" s="2">
        <f t="shared" si="5"/>
        <v>0</v>
      </c>
    </row>
    <row r="36" spans="24:24">
      <c r="X36" s="2">
        <f t="shared" si="5"/>
        <v>0</v>
      </c>
    </row>
    <row r="37" spans="24:24">
      <c r="X37" s="2">
        <f t="shared" si="5"/>
        <v>0</v>
      </c>
    </row>
  </sheetData>
  <mergeCells count="4">
    <mergeCell ref="L2:R2"/>
    <mergeCell ref="S2:U2"/>
    <mergeCell ref="F2:I2"/>
    <mergeCell ref="C2:D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DO120"/>
  <sheetViews>
    <sheetView topLeftCell="A36" zoomScale="70" zoomScaleNormal="70" workbookViewId="0">
      <selection activeCell="H53" sqref="H53"/>
    </sheetView>
  </sheetViews>
  <sheetFormatPr defaultRowHeight="15"/>
  <cols>
    <col min="1" max="1" width="3.44140625" bestFit="1" customWidth="1"/>
    <col min="2" max="2" width="5" bestFit="1" customWidth="1"/>
    <col min="3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10" width="6.109375" customWidth="1"/>
    <col min="11" max="11" width="8.44140625" bestFit="1" customWidth="1"/>
    <col min="12" max="12" width="8.6640625" bestFit="1" customWidth="1"/>
    <col min="13" max="15" width="7" customWidth="1"/>
    <col min="16" max="19" width="5.5546875" customWidth="1"/>
    <col min="20" max="22" width="7.77734375" customWidth="1"/>
    <col min="23" max="23" width="8.44140625" customWidth="1"/>
    <col min="24" max="24" width="5.109375" customWidth="1"/>
    <col min="25" max="25" width="10" bestFit="1" customWidth="1"/>
  </cols>
  <sheetData>
    <row r="2" spans="1:47" ht="15.75">
      <c r="C2" s="47" t="s">
        <v>28</v>
      </c>
      <c r="D2" s="47"/>
      <c r="F2" s="47" t="s">
        <v>23</v>
      </c>
      <c r="G2" s="47"/>
      <c r="H2" s="47"/>
      <c r="I2" s="47"/>
      <c r="J2" s="15"/>
      <c r="M2" s="47" t="s">
        <v>11</v>
      </c>
      <c r="N2" s="47"/>
      <c r="O2" s="47"/>
      <c r="P2" s="47"/>
      <c r="Q2" s="47"/>
      <c r="R2" s="47"/>
      <c r="S2" s="47"/>
      <c r="T2" s="47" t="s">
        <v>19</v>
      </c>
      <c r="U2" s="47"/>
      <c r="V2" s="47"/>
    </row>
    <row r="3" spans="1:47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K3" s="1" t="s">
        <v>2</v>
      </c>
      <c r="L3" s="1" t="s">
        <v>3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20</v>
      </c>
      <c r="U3" s="1" t="s">
        <v>21</v>
      </c>
      <c r="V3" s="1" t="s">
        <v>22</v>
      </c>
      <c r="W3" s="1" t="s">
        <v>46</v>
      </c>
      <c r="AO3" s="1" t="s">
        <v>61</v>
      </c>
    </row>
    <row r="4" spans="1:47" s="1" customFormat="1" ht="15.75">
      <c r="J4" s="1" t="s">
        <v>64</v>
      </c>
      <c r="K4" s="1">
        <v>5082</v>
      </c>
      <c r="L4" s="1">
        <v>16515</v>
      </c>
      <c r="M4" s="1">
        <v>6776</v>
      </c>
      <c r="N4" s="1">
        <v>9592</v>
      </c>
      <c r="O4" s="1">
        <v>8190</v>
      </c>
      <c r="P4" s="1">
        <v>2092</v>
      </c>
      <c r="Q4" s="1">
        <v>514</v>
      </c>
      <c r="R4" s="1">
        <v>528</v>
      </c>
      <c r="S4" s="1">
        <v>6052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56</v>
      </c>
      <c r="AH4" s="1" t="s">
        <v>57</v>
      </c>
      <c r="AI4" s="1" t="s">
        <v>58</v>
      </c>
      <c r="AJ4" s="1" t="s">
        <v>62</v>
      </c>
      <c r="AK4" s="1" t="s">
        <v>63</v>
      </c>
      <c r="AL4" s="1" t="s">
        <v>66</v>
      </c>
      <c r="AM4" s="1" t="s">
        <v>67</v>
      </c>
      <c r="AO4" s="1" t="s">
        <v>17</v>
      </c>
      <c r="AP4" s="1" t="s">
        <v>15</v>
      </c>
      <c r="AQ4" s="1" t="s">
        <v>16</v>
      </c>
      <c r="AR4" s="1" t="s">
        <v>12</v>
      </c>
      <c r="AS4" s="1" t="s">
        <v>13</v>
      </c>
      <c r="AT4" s="1" t="s">
        <v>18</v>
      </c>
      <c r="AU4" s="1" t="s">
        <v>14</v>
      </c>
    </row>
    <row r="5" spans="1:47" s="9" customFormat="1" ht="15.75">
      <c r="A5" s="9">
        <v>1</v>
      </c>
      <c r="B5" s="9">
        <v>2020</v>
      </c>
      <c r="C5" s="9" t="s">
        <v>4</v>
      </c>
      <c r="D5" s="9" t="s">
        <v>5</v>
      </c>
      <c r="E5" s="9" t="s">
        <v>6</v>
      </c>
      <c r="F5" s="9" t="s">
        <v>7</v>
      </c>
      <c r="G5" s="9" t="s">
        <v>8</v>
      </c>
      <c r="H5" s="9" t="s">
        <v>9</v>
      </c>
      <c r="I5" s="9" t="s">
        <v>47</v>
      </c>
      <c r="J5" s="9">
        <v>0.5</v>
      </c>
      <c r="K5" s="9">
        <v>2918</v>
      </c>
      <c r="L5" s="9">
        <v>6165</v>
      </c>
      <c r="M5" s="9">
        <v>5089</v>
      </c>
      <c r="N5" s="9">
        <v>9583</v>
      </c>
      <c r="O5" s="9">
        <v>8833</v>
      </c>
      <c r="P5" s="9">
        <v>2324</v>
      </c>
      <c r="Q5" s="9">
        <v>551</v>
      </c>
      <c r="R5" s="9">
        <v>520</v>
      </c>
      <c r="S5" s="9">
        <v>6128</v>
      </c>
      <c r="T5" s="9">
        <v>329951</v>
      </c>
      <c r="U5" s="9">
        <v>47021</v>
      </c>
      <c r="V5" s="9">
        <v>71932</v>
      </c>
      <c r="W5" s="9">
        <f>SUM(T5:V5)</f>
        <v>448904</v>
      </c>
      <c r="Y5" s="8">
        <f>M5+N5+O5+P5+Q5+R5+S5</f>
        <v>33028</v>
      </c>
      <c r="Z5" s="9">
        <v>256.58445945945942</v>
      </c>
      <c r="AA5" s="9">
        <v>264</v>
      </c>
      <c r="AB5" s="9">
        <v>926.63561776061783</v>
      </c>
      <c r="AC5" s="9">
        <v>1397.64333976834</v>
      </c>
      <c r="AD5" s="9">
        <v>249.57220077220074</v>
      </c>
      <c r="AE5" s="9">
        <v>301.62471042471037</v>
      </c>
      <c r="AF5" s="9">
        <v>2330.6072393822396</v>
      </c>
      <c r="AG5" s="9">
        <v>2758.6852316602317</v>
      </c>
      <c r="AH5" s="9">
        <v>4396.9537932046187</v>
      </c>
      <c r="AI5" s="9">
        <v>5186.340154440154</v>
      </c>
      <c r="AJ5" s="9">
        <v>2757.6000000000172</v>
      </c>
      <c r="AK5" s="9">
        <v>3370.4</v>
      </c>
      <c r="AO5" s="9">
        <f>2*AA5/SUM(Z5:AA5)</f>
        <v>1.0142446444679514</v>
      </c>
      <c r="AP5" s="9">
        <f>2*AC5/SUM(AB5:AC5)</f>
        <v>1.2026468124585488</v>
      </c>
      <c r="AQ5" s="9">
        <f>2*AE5/SUM(AD5:AE5)</f>
        <v>1.0944354160829364</v>
      </c>
      <c r="AR5" s="9">
        <f>2*AG5/SUM(AF5:AG5)</f>
        <v>1.0841134587398367</v>
      </c>
      <c r="AS5" s="9">
        <f>2*AI5/SUM(AH5:AI5)</f>
        <v>1.0823710892672282</v>
      </c>
      <c r="AT5" s="9">
        <f>2*AK5/SUM(AJ5:AK5)</f>
        <v>1.099999999999997</v>
      </c>
      <c r="AU5" s="9" t="e">
        <f>2*AM5/SUM(AL5:AM5)</f>
        <v>#DIV/0!</v>
      </c>
    </row>
    <row r="6" spans="1:47" s="5" customFormat="1" ht="15.75">
      <c r="A6" s="5">
        <v>2</v>
      </c>
      <c r="B6" s="5">
        <v>2020</v>
      </c>
      <c r="C6" s="5" t="s">
        <v>4</v>
      </c>
      <c r="D6" s="5" t="s">
        <v>5</v>
      </c>
      <c r="E6" s="5" t="s">
        <v>6</v>
      </c>
      <c r="F6" s="5" t="s">
        <v>48</v>
      </c>
      <c r="G6" s="5" t="s">
        <v>8</v>
      </c>
      <c r="H6" s="5" t="s">
        <v>9</v>
      </c>
      <c r="I6" s="9" t="s">
        <v>47</v>
      </c>
      <c r="J6" s="9">
        <v>0.5</v>
      </c>
      <c r="K6" s="5">
        <v>2612</v>
      </c>
      <c r="L6" s="5">
        <v>6165</v>
      </c>
      <c r="M6" s="5">
        <v>6124</v>
      </c>
      <c r="N6" s="5">
        <v>9391</v>
      </c>
      <c r="O6" s="5">
        <v>8552</v>
      </c>
      <c r="P6" s="5">
        <v>2206</v>
      </c>
      <c r="Q6" s="5">
        <v>538</v>
      </c>
      <c r="R6" s="5">
        <v>520</v>
      </c>
      <c r="S6" s="5">
        <v>5724</v>
      </c>
      <c r="T6" s="5">
        <v>320577</v>
      </c>
      <c r="U6" s="5">
        <v>47021</v>
      </c>
      <c r="V6" s="5">
        <v>71932</v>
      </c>
      <c r="W6" s="9">
        <f>SUM(T6:V6)</f>
        <v>439530</v>
      </c>
      <c r="Y6" s="4">
        <f t="shared" ref="Y6:Y11" si="0">M6+N6+O6+P6+Q6+R6+S6</f>
        <v>33055</v>
      </c>
      <c r="Z6" s="5">
        <v>256.58445945945942</v>
      </c>
      <c r="AA6" s="5">
        <v>264</v>
      </c>
      <c r="AB6" s="5">
        <v>867.7596525096526</v>
      </c>
      <c r="AC6" s="5">
        <v>1338.7673745173747</v>
      </c>
      <c r="AD6" s="5">
        <v>243.06563706563705</v>
      </c>
      <c r="AE6" s="5">
        <v>295.1181467181467</v>
      </c>
      <c r="AF6" s="5">
        <v>2755.8000000000006</v>
      </c>
      <c r="AG6" s="5">
        <v>3368.2000000000003</v>
      </c>
      <c r="AH6" s="5">
        <v>4303.2316602316596</v>
      </c>
      <c r="AI6" s="5">
        <v>5088.216988416988</v>
      </c>
      <c r="AJ6" s="5">
        <v>2372.1389077121598</v>
      </c>
      <c r="AK6" s="5">
        <v>3370.4</v>
      </c>
      <c r="AO6" s="9">
        <f>2*AA6/SUM(Z6:AA6)</f>
        <v>1.0142446444679514</v>
      </c>
      <c r="AP6" s="9">
        <f>2*AC6/SUM(AB6:AC6)</f>
        <v>1.213461116151537</v>
      </c>
      <c r="AQ6" s="9">
        <f>2*AE6/SUM(AD6:AE6)</f>
        <v>1.0967188369864036</v>
      </c>
      <c r="AR6" s="9">
        <f>2*AG6/SUM(AF6:AG6)</f>
        <v>1.0999999999999999</v>
      </c>
      <c r="AS6" s="9">
        <f>2*AI6/SUM(AH6:AI6)</f>
        <v>1.0835851163705486</v>
      </c>
      <c r="AT6" s="9">
        <f>2*AK6/SUM(AJ6:AK6)</f>
        <v>1.1738361913311877</v>
      </c>
      <c r="AU6" s="9" t="e">
        <f t="shared" ref="AU6:AU41" si="1">2*AM6/SUM(AL6:AM6)</f>
        <v>#DIV/0!</v>
      </c>
    </row>
    <row r="7" spans="1:47" s="5" customFormat="1" ht="15.75">
      <c r="A7" s="5">
        <v>3</v>
      </c>
      <c r="B7" s="5">
        <v>2020</v>
      </c>
      <c r="C7" s="5" t="s">
        <v>4</v>
      </c>
      <c r="D7" s="5" t="s">
        <v>5</v>
      </c>
      <c r="E7" s="5" t="s">
        <v>6</v>
      </c>
      <c r="F7" s="5" t="s">
        <v>59</v>
      </c>
      <c r="G7" s="5" t="s">
        <v>8</v>
      </c>
      <c r="H7" s="5" t="s">
        <v>9</v>
      </c>
      <c r="I7" s="9" t="s">
        <v>47</v>
      </c>
      <c r="J7" s="9">
        <v>0.5</v>
      </c>
      <c r="K7" s="5">
        <v>2197</v>
      </c>
      <c r="L7" s="5">
        <v>6165</v>
      </c>
      <c r="M7" s="5">
        <v>4910</v>
      </c>
      <c r="N7" s="5">
        <v>11504</v>
      </c>
      <c r="O7" s="5">
        <v>8334</v>
      </c>
      <c r="P7" s="5">
        <v>2088</v>
      </c>
      <c r="Q7" s="5">
        <v>525</v>
      </c>
      <c r="R7" s="5">
        <v>518</v>
      </c>
      <c r="S7" s="5">
        <v>5208</v>
      </c>
      <c r="T7" s="5">
        <v>315095</v>
      </c>
      <c r="U7" s="5">
        <v>47021</v>
      </c>
      <c r="V7" s="5">
        <v>71932</v>
      </c>
      <c r="W7" s="9">
        <f t="shared" ref="W7:W41" si="2">SUM(T7:V7)</f>
        <v>434048</v>
      </c>
      <c r="Y7" s="4">
        <f t="shared" si="0"/>
        <v>33087</v>
      </c>
      <c r="Z7" s="5">
        <v>254.72601351351349</v>
      </c>
      <c r="AA7" s="5">
        <v>264</v>
      </c>
      <c r="AB7" s="5">
        <v>808.88368725868736</v>
      </c>
      <c r="AC7" s="5">
        <v>1279.8914092664095</v>
      </c>
      <c r="AD7" s="5">
        <v>236.55907335907335</v>
      </c>
      <c r="AE7" s="5">
        <v>288.61158301158298</v>
      </c>
      <c r="AF7" s="5">
        <v>2223.5877413127414</v>
      </c>
      <c r="AG7" s="5">
        <v>2687.2008582682402</v>
      </c>
      <c r="AH7" s="5">
        <v>5176.7999999999756</v>
      </c>
      <c r="AI7" s="5">
        <v>6327.2000000000007</v>
      </c>
      <c r="AJ7" s="5">
        <v>1838</v>
      </c>
      <c r="AK7" s="5">
        <v>3370.4</v>
      </c>
      <c r="AO7" s="9">
        <f>2*AA7/SUM(Z7:AA7)</f>
        <v>1.0178783909904008</v>
      </c>
      <c r="AP7" s="9">
        <f>2*AC7/SUM(AB7:AC7)</f>
        <v>1.2254947039493596</v>
      </c>
      <c r="AQ7" s="9">
        <f>2*AE7/SUM(AD7:AE7)</f>
        <v>1.0991154189996706</v>
      </c>
      <c r="AR7" s="9">
        <f>2*AG7/SUM(AF7:AG7)</f>
        <v>1.0944070606083629</v>
      </c>
      <c r="AS7" s="9">
        <f>2*AI7/SUM(AH7:AI7)</f>
        <v>1.1000000000000023</v>
      </c>
      <c r="AT7" s="9">
        <f>2*AK7/SUM(AJ7:AK7)</f>
        <v>1.2942170340219648</v>
      </c>
      <c r="AU7" s="9" t="e">
        <f t="shared" si="1"/>
        <v>#DIV/0!</v>
      </c>
    </row>
    <row r="8" spans="1:47" s="5" customFormat="1" ht="15.75">
      <c r="A8" s="5">
        <v>4</v>
      </c>
      <c r="B8" s="5">
        <v>2020</v>
      </c>
      <c r="C8" s="5" t="s">
        <v>4</v>
      </c>
      <c r="D8" s="5" t="s">
        <v>5</v>
      </c>
      <c r="E8" s="5" t="s">
        <v>6</v>
      </c>
      <c r="F8" s="5" t="s">
        <v>60</v>
      </c>
      <c r="G8" s="5" t="s">
        <v>8</v>
      </c>
      <c r="H8" s="5" t="s">
        <v>9</v>
      </c>
      <c r="I8" s="9" t="s">
        <v>47</v>
      </c>
      <c r="J8" s="9">
        <v>0.5</v>
      </c>
      <c r="K8" s="5">
        <v>2381</v>
      </c>
      <c r="L8" s="5">
        <v>6165</v>
      </c>
      <c r="M8" s="5">
        <v>4740</v>
      </c>
      <c r="N8" s="5">
        <v>8999</v>
      </c>
      <c r="O8" s="5">
        <v>11210</v>
      </c>
      <c r="P8" s="5">
        <v>1912</v>
      </c>
      <c r="Q8" s="5">
        <v>505</v>
      </c>
      <c r="R8" s="5">
        <v>515</v>
      </c>
      <c r="S8" s="5">
        <v>5208</v>
      </c>
      <c r="T8" s="5">
        <v>315586</v>
      </c>
      <c r="U8" s="5">
        <v>47021</v>
      </c>
      <c r="V8" s="5">
        <v>71932</v>
      </c>
      <c r="W8" s="9">
        <f t="shared" si="2"/>
        <v>434539</v>
      </c>
      <c r="Y8" s="4">
        <f t="shared" si="0"/>
        <v>33089</v>
      </c>
      <c r="Z8" s="5">
        <v>251.0091216216216</v>
      </c>
      <c r="AA8" s="5">
        <v>264</v>
      </c>
      <c r="AB8" s="5">
        <v>691.13175675675677</v>
      </c>
      <c r="AC8" s="5">
        <v>1221.015444015444</v>
      </c>
      <c r="AD8" s="5">
        <v>223.54594594594593</v>
      </c>
      <c r="AE8" s="5">
        <v>282.10501930501925</v>
      </c>
      <c r="AF8" s="5">
        <v>2141.8169032432384</v>
      </c>
      <c r="AG8" s="5">
        <v>2598.1559845559846</v>
      </c>
      <c r="AH8" s="5">
        <v>4106.9853281853275</v>
      </c>
      <c r="AI8" s="5">
        <v>4891.9706563706559</v>
      </c>
      <c r="AJ8" s="5">
        <v>1838</v>
      </c>
      <c r="AK8" s="5">
        <v>3370.4</v>
      </c>
      <c r="AO8" s="9">
        <f>2*AA8/SUM(Z8:AA8)</f>
        <v>1.0252245597854146</v>
      </c>
      <c r="AP8" s="9">
        <f>2*AC8/SUM(AB8:AC8)</f>
        <v>1.2771144852471081</v>
      </c>
      <c r="AQ8" s="9">
        <f>2*AE8/SUM(AD8:AE8)</f>
        <v>1.1158092783032842</v>
      </c>
      <c r="AR8" s="9">
        <f>2*AG8/SUM(AF8:AG8)</f>
        <v>1.096274618466146</v>
      </c>
      <c r="AS8" s="9">
        <f>2*AI8/SUM(AH8:AI8)</f>
        <v>1.0872307109327484</v>
      </c>
      <c r="AT8" s="9">
        <f>2*AK8/SUM(AJ8:AK8)</f>
        <v>1.2942170340219648</v>
      </c>
      <c r="AU8" s="9" t="e">
        <f t="shared" si="1"/>
        <v>#DIV/0!</v>
      </c>
    </row>
    <row r="9" spans="1:47" s="1" customFormat="1" ht="15.75">
      <c r="A9" s="1">
        <v>5</v>
      </c>
      <c r="B9" s="7">
        <v>2020</v>
      </c>
      <c r="C9" s="7" t="s">
        <v>4</v>
      </c>
      <c r="D9" s="7" t="s">
        <v>39</v>
      </c>
      <c r="E9" s="7" t="s">
        <v>6</v>
      </c>
      <c r="F9" s="7" t="s">
        <v>7</v>
      </c>
      <c r="G9" s="7" t="s">
        <v>8</v>
      </c>
      <c r="H9" s="7" t="s">
        <v>9</v>
      </c>
      <c r="I9" s="9" t="s">
        <v>47</v>
      </c>
      <c r="J9" s="9">
        <v>0.5</v>
      </c>
      <c r="K9" s="7">
        <v>1799</v>
      </c>
      <c r="L9" s="7">
        <v>14299</v>
      </c>
      <c r="M9" s="7">
        <v>4572</v>
      </c>
      <c r="N9" s="7">
        <v>8563</v>
      </c>
      <c r="O9" s="11">
        <v>7479</v>
      </c>
      <c r="P9" s="11">
        <v>1755</v>
      </c>
      <c r="Q9" s="11">
        <v>483</v>
      </c>
      <c r="R9" s="7">
        <v>512</v>
      </c>
      <c r="S9" s="7">
        <v>5208</v>
      </c>
      <c r="T9" s="1">
        <v>356947</v>
      </c>
      <c r="U9" s="1">
        <v>89447</v>
      </c>
      <c r="V9" s="7">
        <v>35475</v>
      </c>
      <c r="W9" s="9">
        <f t="shared" si="2"/>
        <v>481869</v>
      </c>
      <c r="Y9" s="8">
        <f t="shared" si="0"/>
        <v>28572</v>
      </c>
      <c r="Z9" s="1">
        <v>249.6335347432024</v>
      </c>
      <c r="AA9" s="1">
        <v>262.72126132930509</v>
      </c>
      <c r="AB9" s="1">
        <v>693.62197885196383</v>
      </c>
      <c r="AC9" s="1">
        <v>1062.1748489425984</v>
      </c>
      <c r="AD9" s="1">
        <v>218.72990936555891</v>
      </c>
      <c r="AE9" s="1">
        <v>264.55105740181267</v>
      </c>
      <c r="AF9" s="1">
        <v>2118.7726383685795</v>
      </c>
      <c r="AG9" s="1">
        <v>2453.7928247734139</v>
      </c>
      <c r="AH9" s="1">
        <v>3936.2332326283986</v>
      </c>
      <c r="AI9" s="1">
        <v>4627.2456193353473</v>
      </c>
      <c r="AJ9" s="1">
        <v>1838</v>
      </c>
      <c r="AK9" s="1">
        <v>3370.4</v>
      </c>
      <c r="AO9" s="9">
        <f>2*AA9/SUM(Z9:AA9)</f>
        <v>1.0255442648071758</v>
      </c>
      <c r="AP9" s="9">
        <f>2*AC9/SUM(AB9:AC9)</f>
        <v>1.2099063309925044</v>
      </c>
      <c r="AQ9" s="9">
        <f>2*AE9/SUM(AD9:AE9)</f>
        <v>1.0948126476876336</v>
      </c>
      <c r="AR9" s="9">
        <f>2*AG9/SUM(AF9:AG9)</f>
        <v>1.0732674445243764</v>
      </c>
      <c r="AS9" s="9">
        <f>2*AI9/SUM(AH9:AI9)</f>
        <v>1.0806929518543142</v>
      </c>
      <c r="AT9" s="9">
        <f>2*AK9/SUM(AJ9:AK9)</f>
        <v>1.2942170340219648</v>
      </c>
      <c r="AU9" s="9" t="e">
        <f t="shared" si="1"/>
        <v>#DIV/0!</v>
      </c>
    </row>
    <row r="10" spans="1:47" ht="15.75">
      <c r="A10" s="9"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7</v>
      </c>
      <c r="G10" s="7" t="s">
        <v>8</v>
      </c>
      <c r="H10" s="7" t="s">
        <v>9</v>
      </c>
      <c r="I10" s="9" t="s">
        <v>47</v>
      </c>
      <c r="J10" s="9">
        <v>0.8</v>
      </c>
      <c r="K10" s="5">
        <v>2918</v>
      </c>
      <c r="L10" s="5">
        <v>6165</v>
      </c>
      <c r="M10" s="5">
        <v>5089</v>
      </c>
      <c r="N10" s="5">
        <v>9583</v>
      </c>
      <c r="O10" s="5">
        <v>8833</v>
      </c>
      <c r="P10" s="5">
        <v>2324</v>
      </c>
      <c r="Q10" s="5">
        <v>551</v>
      </c>
      <c r="R10" s="5">
        <v>520</v>
      </c>
      <c r="S10" s="5">
        <v>6128</v>
      </c>
      <c r="T10" s="5">
        <v>329951</v>
      </c>
      <c r="U10" s="5">
        <v>47021</v>
      </c>
      <c r="V10" s="5">
        <v>71932</v>
      </c>
      <c r="W10" s="9">
        <f t="shared" si="2"/>
        <v>448904</v>
      </c>
      <c r="Y10" s="4">
        <f t="shared" si="0"/>
        <v>33028</v>
      </c>
      <c r="AJ10">
        <v>2757.6000000000067</v>
      </c>
      <c r="AK10">
        <v>3370.4</v>
      </c>
      <c r="AO10" s="9" t="e">
        <f t="shared" ref="AO10:AO41" si="3">2*AA10/SUM(Z10:AA10)</f>
        <v>#DIV/0!</v>
      </c>
      <c r="AP10" s="9" t="e">
        <f t="shared" ref="AP10:AP41" si="4">2*AC10/SUM(AB10:AC10)</f>
        <v>#DIV/0!</v>
      </c>
      <c r="AQ10" s="9" t="e">
        <f t="shared" ref="AQ10:AQ41" si="5">2*AE10/SUM(AD10:AE10)</f>
        <v>#DIV/0!</v>
      </c>
      <c r="AR10" s="9" t="e">
        <f t="shared" ref="AR10:AR41" si="6">2*AG10/SUM(AF10:AG10)</f>
        <v>#DIV/0!</v>
      </c>
      <c r="AS10" s="9" t="e">
        <f t="shared" ref="AS10:AS41" si="7">2*AI10/SUM(AH10:AI10)</f>
        <v>#DIV/0!</v>
      </c>
      <c r="AT10" s="9">
        <f t="shared" ref="AT10:AT41" si="8">2*AK10/SUM(AJ10:AK10)</f>
        <v>1.0999999999999988</v>
      </c>
      <c r="AU10" s="9" t="e">
        <f t="shared" si="1"/>
        <v>#DIV/0!</v>
      </c>
    </row>
    <row r="11" spans="1:47" ht="15.75">
      <c r="A11" s="5"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7</v>
      </c>
      <c r="G11" s="7" t="s">
        <v>8</v>
      </c>
      <c r="H11" s="7" t="s">
        <v>9</v>
      </c>
      <c r="I11" t="s">
        <v>65</v>
      </c>
      <c r="J11" s="9">
        <v>0.5</v>
      </c>
      <c r="K11" s="5">
        <v>4329</v>
      </c>
      <c r="L11" s="5">
        <v>6165</v>
      </c>
      <c r="M11" s="5">
        <v>5057</v>
      </c>
      <c r="N11" s="5">
        <v>9587</v>
      </c>
      <c r="O11" s="5">
        <v>8833</v>
      </c>
      <c r="P11" s="5">
        <v>2324</v>
      </c>
      <c r="Q11" s="5">
        <v>544</v>
      </c>
      <c r="R11" s="5">
        <v>528</v>
      </c>
      <c r="S11" s="5">
        <v>6128</v>
      </c>
      <c r="T11" s="5">
        <v>327844</v>
      </c>
      <c r="U11" s="5">
        <v>47021</v>
      </c>
      <c r="V11" s="5">
        <v>71845</v>
      </c>
      <c r="W11" s="9">
        <f t="shared" si="2"/>
        <v>446710</v>
      </c>
      <c r="Y11" s="4">
        <f t="shared" si="0"/>
        <v>33001</v>
      </c>
      <c r="Z11">
        <v>264</v>
      </c>
      <c r="AA11">
        <v>264</v>
      </c>
      <c r="AB11">
        <v>1162.1394787644788</v>
      </c>
      <c r="AC11">
        <v>1162.1394787644788</v>
      </c>
      <c r="AD11">
        <v>269.09189189189186</v>
      </c>
      <c r="AE11">
        <v>275.59845559845559</v>
      </c>
      <c r="AF11">
        <v>2513.1957456370615</v>
      </c>
      <c r="AG11">
        <v>2544.6462355212357</v>
      </c>
      <c r="AH11">
        <v>4793.8474903474898</v>
      </c>
      <c r="AI11">
        <v>4793.8474903474898</v>
      </c>
      <c r="AJ11">
        <v>2757.6000000000008</v>
      </c>
      <c r="AK11">
        <v>3370.4</v>
      </c>
      <c r="AO11" s="9">
        <f t="shared" si="3"/>
        <v>1</v>
      </c>
      <c r="AP11" s="9">
        <f t="shared" si="4"/>
        <v>1</v>
      </c>
      <c r="AQ11" s="9">
        <f t="shared" si="5"/>
        <v>1.0119454360381868</v>
      </c>
      <c r="AR11" s="9">
        <f t="shared" si="6"/>
        <v>1.0062181637942298</v>
      </c>
      <c r="AS11" s="9">
        <f t="shared" si="7"/>
        <v>1</v>
      </c>
      <c r="AT11" s="9">
        <f t="shared" si="8"/>
        <v>1.0999999999999999</v>
      </c>
      <c r="AU11" s="9" t="e">
        <f t="shared" si="1"/>
        <v>#DIV/0!</v>
      </c>
    </row>
    <row r="12" spans="1:47" ht="16.5" customHeight="1">
      <c r="A12" s="5">
        <v>8</v>
      </c>
      <c r="B12" s="9">
        <v>2020</v>
      </c>
      <c r="C12" s="9" t="s">
        <v>4</v>
      </c>
      <c r="D12" s="9" t="s">
        <v>5</v>
      </c>
      <c r="E12" s="7" t="s">
        <v>6</v>
      </c>
      <c r="F12" s="7" t="s">
        <v>7</v>
      </c>
      <c r="G12" s="7" t="s">
        <v>8</v>
      </c>
      <c r="H12" s="7" t="s">
        <v>9</v>
      </c>
      <c r="I12" s="9" t="s">
        <v>45</v>
      </c>
      <c r="J12" s="9">
        <v>0.5</v>
      </c>
      <c r="K12" s="5">
        <v>3632</v>
      </c>
      <c r="L12" s="5">
        <v>6265</v>
      </c>
      <c r="M12" s="5">
        <v>5089</v>
      </c>
      <c r="N12" s="5">
        <v>9579</v>
      </c>
      <c r="O12" s="5">
        <v>8833</v>
      </c>
      <c r="P12" s="5">
        <v>2324</v>
      </c>
      <c r="Q12" s="5">
        <v>551</v>
      </c>
      <c r="R12" s="5">
        <v>524</v>
      </c>
      <c r="S12" s="5">
        <v>6128</v>
      </c>
      <c r="T12" s="5">
        <v>328502</v>
      </c>
      <c r="U12" s="5">
        <v>47021</v>
      </c>
      <c r="V12" s="5">
        <v>71932</v>
      </c>
      <c r="W12" s="9">
        <f t="shared" si="2"/>
        <v>447455</v>
      </c>
      <c r="Y12" s="2">
        <f t="shared" ref="Y12:Y41" si="9">L12+M12+N12+O12+P12+Q12+R12+S12</f>
        <v>39293</v>
      </c>
      <c r="Z12">
        <v>260.30135135135134</v>
      </c>
      <c r="AA12">
        <v>264</v>
      </c>
      <c r="AB12">
        <v>1044.3875482625483</v>
      </c>
      <c r="AC12">
        <v>1279.8914092664095</v>
      </c>
      <c r="AD12">
        <v>262.58532818532814</v>
      </c>
      <c r="AE12">
        <v>288.61158301158298</v>
      </c>
      <c r="AF12">
        <v>2437.6267374517374</v>
      </c>
      <c r="AG12">
        <v>2651.6657335907339</v>
      </c>
      <c r="AH12">
        <v>4589.4832333590666</v>
      </c>
      <c r="AI12">
        <v>4990.0938223938219</v>
      </c>
      <c r="AJ12">
        <v>2757.6000000000072</v>
      </c>
      <c r="AK12">
        <v>3370.4</v>
      </c>
      <c r="AL12">
        <v>4136.1677123552126</v>
      </c>
      <c r="AM12">
        <v>4696.8347007722014</v>
      </c>
      <c r="AO12" s="9">
        <f t="shared" si="3"/>
        <v>1.0070544327973134</v>
      </c>
      <c r="AP12" s="9">
        <f t="shared" si="4"/>
        <v>1.1013234062292743</v>
      </c>
      <c r="AQ12" s="9">
        <f t="shared" si="5"/>
        <v>1.0472177080414684</v>
      </c>
      <c r="AR12" s="9">
        <f t="shared" si="6"/>
        <v>1.0420567293699183</v>
      </c>
      <c r="AS12" s="9">
        <f t="shared" si="7"/>
        <v>1.0418192355156404</v>
      </c>
      <c r="AT12" s="9">
        <f t="shared" si="8"/>
        <v>1.0999999999999988</v>
      </c>
      <c r="AU12" s="9">
        <f t="shared" si="1"/>
        <v>1.0634741124471716</v>
      </c>
    </row>
    <row r="13" spans="1:47" ht="15.75">
      <c r="A13" s="5">
        <v>9</v>
      </c>
      <c r="B13" s="9">
        <v>2020</v>
      </c>
      <c r="C13" s="9" t="s">
        <v>4</v>
      </c>
      <c r="D13" s="9" t="s">
        <v>39</v>
      </c>
      <c r="E13" s="7" t="s">
        <v>6</v>
      </c>
      <c r="F13" s="7" t="s">
        <v>7</v>
      </c>
      <c r="G13" s="7" t="s">
        <v>8</v>
      </c>
      <c r="H13" s="7" t="s">
        <v>9</v>
      </c>
      <c r="I13" s="9" t="s">
        <v>45</v>
      </c>
      <c r="J13" s="9">
        <v>0.5</v>
      </c>
      <c r="K13" s="5">
        <v>2642</v>
      </c>
      <c r="L13" s="5">
        <v>14299</v>
      </c>
      <c r="M13" s="5">
        <f t="shared" ref="M13:M41" si="10">SUM(AF13:AG13)</f>
        <v>4447.0138217522654</v>
      </c>
      <c r="N13" s="5">
        <f t="shared" ref="N13:N41" si="11">SUM(AH13:AI13)</f>
        <v>8409.9205438066456</v>
      </c>
      <c r="O13">
        <f t="shared" ref="O13:O41" si="12">SUM(AL13:AM13)</f>
        <v>7250.7489223564971</v>
      </c>
      <c r="P13">
        <f t="shared" ref="P13:P41" si="13">SUM(AB13:AC13)</f>
        <v>1663.6586102719034</v>
      </c>
      <c r="Q13">
        <f t="shared" ref="Q13:Q41" si="14">SUM(AD13:AE13)</f>
        <v>473.09848942598182</v>
      </c>
      <c r="R13">
        <f t="shared" ref="R13:R41" si="15">SUM(Z13:AA13)</f>
        <v>509.44641238670687</v>
      </c>
      <c r="S13">
        <f t="shared" ref="S13:S41" si="16">SUM(AJ13:AK13)</f>
        <v>5821.6</v>
      </c>
      <c r="T13" s="5">
        <v>345494</v>
      </c>
      <c r="U13" s="5">
        <v>89447</v>
      </c>
      <c r="V13" s="5">
        <v>35475</v>
      </c>
      <c r="W13" s="9">
        <f t="shared" si="2"/>
        <v>470416</v>
      </c>
      <c r="Y13" s="2">
        <f t="shared" si="9"/>
        <v>42874.486799999999</v>
      </c>
      <c r="Z13">
        <v>251.08772658610269</v>
      </c>
      <c r="AA13">
        <v>258.35868580060418</v>
      </c>
      <c r="AB13">
        <v>739.69108761329312</v>
      </c>
      <c r="AC13">
        <v>923.96752265861028</v>
      </c>
      <c r="AD13">
        <v>223.82114803625376</v>
      </c>
      <c r="AE13">
        <v>249.27734138972809</v>
      </c>
      <c r="AF13">
        <v>2118.8314954682778</v>
      </c>
      <c r="AG13">
        <v>2328.182326283988</v>
      </c>
      <c r="AH13">
        <v>4013.0123867069483</v>
      </c>
      <c r="AI13">
        <v>4396.9081570996977</v>
      </c>
      <c r="AJ13">
        <v>2451.2000000000003</v>
      </c>
      <c r="AK13">
        <v>3370.4</v>
      </c>
      <c r="AL13">
        <v>3401.2666716012095</v>
      </c>
      <c r="AM13">
        <v>3849.4822507552872</v>
      </c>
      <c r="AO13" s="9">
        <f t="shared" si="3"/>
        <v>1.0142722748413082</v>
      </c>
      <c r="AP13" s="9">
        <f t="shared" si="4"/>
        <v>1.1107657748455975</v>
      </c>
      <c r="AQ13" s="9">
        <f t="shared" si="5"/>
        <v>1.0538073866698683</v>
      </c>
      <c r="AR13" s="9">
        <f t="shared" si="6"/>
        <v>1.0470767214150956</v>
      </c>
      <c r="AS13" s="9">
        <f t="shared" si="7"/>
        <v>1.0456479663979066</v>
      </c>
      <c r="AT13" s="9">
        <f t="shared" si="8"/>
        <v>1.1578947368421053</v>
      </c>
      <c r="AU13" s="9">
        <f t="shared" si="1"/>
        <v>1.0618164528869669</v>
      </c>
    </row>
    <row r="14" spans="1:47" ht="15.75">
      <c r="A14" s="5">
        <v>10</v>
      </c>
      <c r="B14" s="9">
        <v>2020</v>
      </c>
      <c r="C14" s="9" t="s">
        <v>4</v>
      </c>
      <c r="D14" s="9" t="s">
        <v>39</v>
      </c>
      <c r="E14" s="7" t="s">
        <v>6</v>
      </c>
      <c r="F14" s="7" t="s">
        <v>7</v>
      </c>
      <c r="G14" s="7" t="s">
        <v>8</v>
      </c>
      <c r="H14" s="7" t="s">
        <v>9</v>
      </c>
      <c r="I14" s="9" t="s">
        <v>45</v>
      </c>
      <c r="J14" s="9">
        <v>0.8</v>
      </c>
      <c r="K14" s="5">
        <v>2812</v>
      </c>
      <c r="L14" s="5">
        <v>14229</v>
      </c>
      <c r="M14" s="5">
        <f t="shared" si="10"/>
        <v>4405.1436555891232</v>
      </c>
      <c r="N14" s="5">
        <f t="shared" si="11"/>
        <v>8333.1413897280963</v>
      </c>
      <c r="O14">
        <f t="shared" si="12"/>
        <v>7115.6127818731075</v>
      </c>
      <c r="P14">
        <f t="shared" si="13"/>
        <v>1617.5895015105741</v>
      </c>
      <c r="Q14">
        <f t="shared" si="14"/>
        <v>468.00725075528698</v>
      </c>
      <c r="R14">
        <f t="shared" si="15"/>
        <v>507.99222054380658</v>
      </c>
      <c r="S14">
        <f t="shared" si="16"/>
        <v>6128.0000000000073</v>
      </c>
      <c r="T14" s="5">
        <v>340467</v>
      </c>
      <c r="U14" s="5">
        <v>89447</v>
      </c>
      <c r="V14" s="5">
        <v>35475</v>
      </c>
      <c r="W14" s="9">
        <f t="shared" si="2"/>
        <v>465389</v>
      </c>
      <c r="Y14" s="2">
        <f t="shared" si="9"/>
        <v>42804.486800000006</v>
      </c>
      <c r="Z14">
        <v>251.08772658610269</v>
      </c>
      <c r="AA14">
        <v>256.90449395770389</v>
      </c>
      <c r="AB14">
        <v>693.62197885196383</v>
      </c>
      <c r="AC14">
        <v>923.96752265861028</v>
      </c>
      <c r="AD14">
        <v>223.82114803625376</v>
      </c>
      <c r="AE14">
        <v>244.18610271903322</v>
      </c>
      <c r="AF14">
        <v>2118.8314954682778</v>
      </c>
      <c r="AG14">
        <v>2286.3121601208459</v>
      </c>
      <c r="AH14">
        <v>4013.0123867069483</v>
      </c>
      <c r="AI14">
        <v>4320.1290030211476</v>
      </c>
      <c r="AJ14">
        <v>2768.1489562904062</v>
      </c>
      <c r="AK14">
        <v>3359.8510437096015</v>
      </c>
      <c r="AL14">
        <v>3301.0957326283988</v>
      </c>
      <c r="AM14">
        <v>3814.5170492447082</v>
      </c>
      <c r="AO14" s="9">
        <f t="shared" si="3"/>
        <v>1.0114505048234288</v>
      </c>
      <c r="AP14" s="9">
        <f t="shared" si="4"/>
        <v>1.1424004938159773</v>
      </c>
      <c r="AQ14" s="9">
        <f t="shared" si="5"/>
        <v>1.0435141862650925</v>
      </c>
      <c r="AR14" s="9">
        <f t="shared" si="6"/>
        <v>1.0380193423295228</v>
      </c>
      <c r="AS14" s="9">
        <f t="shared" si="7"/>
        <v>1.0368548428438726</v>
      </c>
      <c r="AT14" s="9">
        <f t="shared" si="8"/>
        <v>1.0965571291480409</v>
      </c>
      <c r="AU14" s="9">
        <f t="shared" si="1"/>
        <v>1.0721541956195593</v>
      </c>
    </row>
    <row r="15" spans="1:47" ht="15.75">
      <c r="A15" s="5"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7" t="s">
        <v>7</v>
      </c>
      <c r="G15" s="7" t="s">
        <v>8</v>
      </c>
      <c r="H15" s="7" t="s">
        <v>9</v>
      </c>
      <c r="I15" s="9" t="s">
        <v>45</v>
      </c>
      <c r="J15" s="9">
        <v>0.8</v>
      </c>
      <c r="K15" s="5">
        <v>3642</v>
      </c>
      <c r="L15" s="5">
        <v>6165</v>
      </c>
      <c r="M15" s="5">
        <f t="shared" si="10"/>
        <v>5089.2924710424713</v>
      </c>
      <c r="N15" s="5">
        <f t="shared" si="11"/>
        <v>9579.5770557528922</v>
      </c>
      <c r="O15">
        <f t="shared" si="12"/>
        <v>8833.0024131274149</v>
      </c>
      <c r="P15">
        <f t="shared" si="13"/>
        <v>2324.278957528958</v>
      </c>
      <c r="Q15">
        <f t="shared" si="14"/>
        <v>551.19691119691106</v>
      </c>
      <c r="R15">
        <f t="shared" si="15"/>
        <v>524.30135135135129</v>
      </c>
      <c r="S15">
        <f t="shared" si="16"/>
        <v>6128</v>
      </c>
      <c r="T15" s="5">
        <v>328503</v>
      </c>
      <c r="U15" s="5">
        <v>47021</v>
      </c>
      <c r="V15" s="5">
        <v>71932</v>
      </c>
      <c r="W15" s="9">
        <f t="shared" si="2"/>
        <v>447456</v>
      </c>
      <c r="Y15" s="2">
        <f t="shared" si="9"/>
        <v>39194.649160000001</v>
      </c>
      <c r="Z15">
        <v>260.30135135135134</v>
      </c>
      <c r="AA15">
        <v>264</v>
      </c>
      <c r="AB15">
        <v>1044.3875482625483</v>
      </c>
      <c r="AC15">
        <v>1279.8914092664095</v>
      </c>
      <c r="AD15">
        <v>262.58532818532814</v>
      </c>
      <c r="AE15">
        <v>288.61158301158298</v>
      </c>
      <c r="AF15">
        <v>2437.6267374517374</v>
      </c>
      <c r="AG15">
        <v>2651.6657335907339</v>
      </c>
      <c r="AH15">
        <v>4589.4832333590703</v>
      </c>
      <c r="AI15">
        <v>4990.0938223938219</v>
      </c>
      <c r="AJ15">
        <v>2768.1489562904085</v>
      </c>
      <c r="AK15">
        <v>3359.8510437095911</v>
      </c>
      <c r="AL15">
        <v>4136.1677123552126</v>
      </c>
      <c r="AM15">
        <v>4696.8347007722014</v>
      </c>
      <c r="AO15" s="9">
        <f t="shared" si="3"/>
        <v>1.0070544327973134</v>
      </c>
      <c r="AP15" s="9">
        <f t="shared" si="4"/>
        <v>1.1013234062292743</v>
      </c>
      <c r="AQ15" s="9">
        <f t="shared" si="5"/>
        <v>1.0472177080414684</v>
      </c>
      <c r="AR15" s="9">
        <f t="shared" si="6"/>
        <v>1.0420567293699183</v>
      </c>
      <c r="AS15" s="9">
        <f t="shared" si="7"/>
        <v>1.0418192355156399</v>
      </c>
      <c r="AT15" s="9">
        <f t="shared" si="8"/>
        <v>1.0965571291480389</v>
      </c>
      <c r="AU15" s="9">
        <f t="shared" si="1"/>
        <v>1.0634741124471716</v>
      </c>
    </row>
    <row r="16" spans="1:47" ht="15.75">
      <c r="A16" s="5"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5" t="s">
        <v>48</v>
      </c>
      <c r="G16" s="7" t="s">
        <v>8</v>
      </c>
      <c r="H16" s="7" t="s">
        <v>9</v>
      </c>
      <c r="I16" s="9" t="s">
        <v>45</v>
      </c>
      <c r="J16" s="9">
        <v>0.8</v>
      </c>
      <c r="K16" s="5">
        <v>3360</v>
      </c>
      <c r="L16" s="5">
        <v>6165</v>
      </c>
      <c r="M16" s="5">
        <f t="shared" si="10"/>
        <v>6123.9999999999964</v>
      </c>
      <c r="N16" s="5">
        <f t="shared" si="11"/>
        <v>9216.0073167145929</v>
      </c>
      <c r="O16">
        <f t="shared" si="12"/>
        <v>8366.3772197332746</v>
      </c>
      <c r="P16">
        <f t="shared" si="13"/>
        <v>2147.6510617760619</v>
      </c>
      <c r="Q16">
        <f t="shared" si="14"/>
        <v>525.17065637065639</v>
      </c>
      <c r="R16">
        <f t="shared" si="15"/>
        <v>522.44290540540533</v>
      </c>
      <c r="S16">
        <f t="shared" si="16"/>
        <v>6128.0000000000109</v>
      </c>
      <c r="T16" s="5">
        <v>314065</v>
      </c>
      <c r="U16" s="5">
        <v>47021</v>
      </c>
      <c r="V16" s="5">
        <v>71932</v>
      </c>
      <c r="W16" s="9">
        <f t="shared" si="2"/>
        <v>433018</v>
      </c>
      <c r="Y16" s="2">
        <f t="shared" si="9"/>
        <v>39194.649160000001</v>
      </c>
      <c r="Z16">
        <v>258.44290540540538</v>
      </c>
      <c r="AA16">
        <v>264</v>
      </c>
      <c r="AB16">
        <v>926.63561776061783</v>
      </c>
      <c r="AC16">
        <v>1221.015444015444</v>
      </c>
      <c r="AD16">
        <v>249.57220077220074</v>
      </c>
      <c r="AE16">
        <v>275.59845559845559</v>
      </c>
      <c r="AF16">
        <v>2755.7999999999961</v>
      </c>
      <c r="AG16">
        <v>3368.2000000000003</v>
      </c>
      <c r="AH16">
        <v>4401.3548262548256</v>
      </c>
      <c r="AI16">
        <v>4814.6524904597682</v>
      </c>
      <c r="AJ16">
        <v>2768.1489562904071</v>
      </c>
      <c r="AK16">
        <v>3359.8510437096033</v>
      </c>
      <c r="AL16">
        <v>3855.8342181467183</v>
      </c>
      <c r="AM16">
        <v>4510.5430015865559</v>
      </c>
      <c r="AO16" s="9">
        <f t="shared" si="3"/>
        <v>1.0106367500392841</v>
      </c>
      <c r="AP16" s="9">
        <f t="shared" si="4"/>
        <v>1.1370706030854847</v>
      </c>
      <c r="AQ16" s="9">
        <f t="shared" si="5"/>
        <v>1.0495577094998352</v>
      </c>
      <c r="AR16" s="9">
        <f t="shared" si="6"/>
        <v>1.1000000000000008</v>
      </c>
      <c r="AS16" s="9">
        <f t="shared" si="7"/>
        <v>1.0448456310853147</v>
      </c>
      <c r="AT16" s="9">
        <f t="shared" si="8"/>
        <v>1.0965571291480409</v>
      </c>
      <c r="AU16" s="9">
        <f t="shared" si="1"/>
        <v>1.0782547530722872</v>
      </c>
    </row>
    <row r="17" spans="1:47" ht="15.75">
      <c r="A17" s="5"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5" t="s">
        <v>59</v>
      </c>
      <c r="G17" s="7" t="s">
        <v>8</v>
      </c>
      <c r="H17" s="7" t="s">
        <v>9</v>
      </c>
      <c r="I17" s="9" t="s">
        <v>45</v>
      </c>
      <c r="J17" s="9">
        <v>0.8</v>
      </c>
      <c r="K17" s="5">
        <v>3128</v>
      </c>
      <c r="L17" s="5">
        <v>6165</v>
      </c>
      <c r="M17" s="5">
        <f t="shared" si="10"/>
        <v>4714.7242277992282</v>
      </c>
      <c r="N17" s="5">
        <f t="shared" si="11"/>
        <v>11503.999999999985</v>
      </c>
      <c r="O17">
        <f t="shared" si="12"/>
        <v>7851.835183397684</v>
      </c>
      <c r="P17">
        <f t="shared" si="13"/>
        <v>1869.0918646332148</v>
      </c>
      <c r="Q17">
        <f t="shared" si="14"/>
        <v>505.59907335907337</v>
      </c>
      <c r="R17">
        <f t="shared" si="15"/>
        <v>516.88581081081077</v>
      </c>
      <c r="S17">
        <f t="shared" si="16"/>
        <v>6128.0000000000055</v>
      </c>
      <c r="T17" s="5">
        <v>301614</v>
      </c>
      <c r="U17" s="5">
        <v>47021</v>
      </c>
      <c r="V17" s="5">
        <v>71932</v>
      </c>
      <c r="W17" s="9">
        <f t="shared" si="2"/>
        <v>420567</v>
      </c>
      <c r="Y17" s="2">
        <f t="shared" si="9"/>
        <v>39255.136160000002</v>
      </c>
      <c r="Z17">
        <v>254.72601351351349</v>
      </c>
      <c r="AA17">
        <v>262.15979729729725</v>
      </c>
      <c r="AB17">
        <v>808.88368725868736</v>
      </c>
      <c r="AC17">
        <v>1060.2081773745274</v>
      </c>
      <c r="AD17">
        <v>236.55907335907335</v>
      </c>
      <c r="AE17">
        <v>269.04000000000002</v>
      </c>
      <c r="AF17">
        <v>2223.5877413127414</v>
      </c>
      <c r="AG17">
        <v>2491.1364864864868</v>
      </c>
      <c r="AH17">
        <v>5176.7999999999847</v>
      </c>
      <c r="AI17">
        <v>6327.2000000000007</v>
      </c>
      <c r="AJ17">
        <v>2768.1489562904048</v>
      </c>
      <c r="AK17">
        <v>3359.8510437096006</v>
      </c>
      <c r="AL17">
        <v>3575.5007239382239</v>
      </c>
      <c r="AM17">
        <v>4276.33445945946</v>
      </c>
      <c r="AO17" s="9">
        <f t="shared" si="3"/>
        <v>1.0143818685448587</v>
      </c>
      <c r="AP17" s="9">
        <f t="shared" si="4"/>
        <v>1.1344634230512578</v>
      </c>
      <c r="AQ17" s="9">
        <f t="shared" si="5"/>
        <v>1.064242456824795</v>
      </c>
      <c r="AR17" s="9">
        <f t="shared" si="6"/>
        <v>1.0567474855891272</v>
      </c>
      <c r="AS17" s="9">
        <f t="shared" si="7"/>
        <v>1.1000000000000014</v>
      </c>
      <c r="AT17" s="9">
        <f t="shared" si="8"/>
        <v>1.0965571291480409</v>
      </c>
      <c r="AU17" s="9">
        <f t="shared" si="1"/>
        <v>1.0892573161753465</v>
      </c>
    </row>
    <row r="18" spans="1:47" ht="15.75">
      <c r="A18" s="5">
        <v>14</v>
      </c>
      <c r="B18" s="9">
        <v>2020</v>
      </c>
      <c r="C18" s="9" t="s">
        <v>4</v>
      </c>
      <c r="D18" s="9" t="s">
        <v>5</v>
      </c>
      <c r="E18" s="7" t="s">
        <v>6</v>
      </c>
      <c r="F18" s="5" t="s">
        <v>60</v>
      </c>
      <c r="G18" s="7" t="s">
        <v>8</v>
      </c>
      <c r="H18" s="7" t="s">
        <v>9</v>
      </c>
      <c r="I18" s="9" t="s">
        <v>45</v>
      </c>
      <c r="J18" s="9">
        <v>0.8</v>
      </c>
      <c r="K18" s="5">
        <v>3263</v>
      </c>
      <c r="L18" s="5">
        <v>6165</v>
      </c>
      <c r="M18" s="5">
        <f t="shared" si="10"/>
        <v>4500.6852316602317</v>
      </c>
      <c r="N18" s="5">
        <f t="shared" si="11"/>
        <v>8583.8724051737081</v>
      </c>
      <c r="O18">
        <f t="shared" si="12"/>
        <v>11210.000000000022</v>
      </c>
      <c r="P18">
        <f t="shared" si="13"/>
        <v>1676.64333976834</v>
      </c>
      <c r="Q18">
        <f t="shared" si="14"/>
        <v>479.62471042471043</v>
      </c>
      <c r="R18">
        <f t="shared" si="15"/>
        <v>511.31047297297295</v>
      </c>
      <c r="S18">
        <f t="shared" si="16"/>
        <v>6128.0000000000127</v>
      </c>
      <c r="T18" s="5">
        <v>302329</v>
      </c>
      <c r="U18" s="5">
        <v>47021</v>
      </c>
      <c r="V18" s="5">
        <v>71932</v>
      </c>
      <c r="W18" s="9">
        <f t="shared" si="2"/>
        <v>421282</v>
      </c>
      <c r="Y18" s="2">
        <f t="shared" si="9"/>
        <v>39255.136160000002</v>
      </c>
      <c r="Z18">
        <v>251.0091216216216</v>
      </c>
      <c r="AA18">
        <v>260.30135135135134</v>
      </c>
      <c r="AB18">
        <v>691.13175675675677</v>
      </c>
      <c r="AC18">
        <v>985.51158301158307</v>
      </c>
      <c r="AD18">
        <v>223.54594594594593</v>
      </c>
      <c r="AE18">
        <v>256.07876447876447</v>
      </c>
      <c r="AF18">
        <v>2116.5682432432432</v>
      </c>
      <c r="AG18">
        <v>2384.1169884169885</v>
      </c>
      <c r="AH18">
        <v>4084.3944128957164</v>
      </c>
      <c r="AI18">
        <v>4499.4779922779917</v>
      </c>
      <c r="AJ18">
        <v>2768.1489562904057</v>
      </c>
      <c r="AK18">
        <v>3359.8510437096074</v>
      </c>
      <c r="AL18">
        <v>5045.0000000000227</v>
      </c>
      <c r="AM18">
        <v>6165</v>
      </c>
      <c r="AO18" s="9">
        <f t="shared" si="3"/>
        <v>1.0181733608461037</v>
      </c>
      <c r="AP18" s="9">
        <f t="shared" si="4"/>
        <v>1.1755768918006737</v>
      </c>
      <c r="AQ18" s="9">
        <f t="shared" si="5"/>
        <v>1.0678297381801085</v>
      </c>
      <c r="AR18" s="9">
        <f t="shared" si="6"/>
        <v>1.0594462246085694</v>
      </c>
      <c r="AS18" s="9">
        <f t="shared" si="7"/>
        <v>1.0483562149796279</v>
      </c>
      <c r="AT18" s="9">
        <f t="shared" si="8"/>
        <v>1.0965571291480418</v>
      </c>
      <c r="AU18" s="9">
        <f t="shared" si="1"/>
        <v>1.0999107939339854</v>
      </c>
    </row>
    <row r="19" spans="1:47" ht="15.75">
      <c r="A19" s="5">
        <v>15</v>
      </c>
      <c r="B19" s="9">
        <v>2020</v>
      </c>
      <c r="C19" s="9" t="s">
        <v>4</v>
      </c>
      <c r="D19" s="9" t="s">
        <v>5</v>
      </c>
      <c r="E19" s="7" t="s">
        <v>6</v>
      </c>
      <c r="F19" s="5" t="s">
        <v>68</v>
      </c>
      <c r="G19" s="7" t="s">
        <v>8</v>
      </c>
      <c r="H19" s="7" t="s">
        <v>9</v>
      </c>
      <c r="I19" s="9" t="s">
        <v>45</v>
      </c>
      <c r="J19" s="9">
        <v>0.8</v>
      </c>
      <c r="K19" s="5">
        <v>3517</v>
      </c>
      <c r="L19" s="5">
        <v>6165</v>
      </c>
      <c r="M19" s="5">
        <f t="shared" si="10"/>
        <v>4928.7632239382237</v>
      </c>
      <c r="N19" s="5">
        <f t="shared" si="11"/>
        <v>9293.3254826254815</v>
      </c>
      <c r="O19">
        <f t="shared" si="12"/>
        <v>8411.94689166022</v>
      </c>
      <c r="P19">
        <f t="shared" si="13"/>
        <v>3219.9999999999982</v>
      </c>
      <c r="Q19">
        <f t="shared" si="14"/>
        <v>525.17065637065639</v>
      </c>
      <c r="R19">
        <f t="shared" si="15"/>
        <v>522.44290540540533</v>
      </c>
      <c r="S19">
        <f t="shared" si="16"/>
        <v>6128.0000000000146</v>
      </c>
      <c r="T19" s="5">
        <v>320769</v>
      </c>
      <c r="U19" s="5">
        <v>47021</v>
      </c>
      <c r="V19" s="5">
        <v>71932</v>
      </c>
      <c r="W19" s="9">
        <f t="shared" si="2"/>
        <v>439722</v>
      </c>
      <c r="Y19" s="2">
        <f t="shared" si="9"/>
        <v>39194.649160000001</v>
      </c>
      <c r="Z19">
        <v>258.44290540540538</v>
      </c>
      <c r="AA19">
        <v>264</v>
      </c>
      <c r="AB19">
        <v>1509.0499999999981</v>
      </c>
      <c r="AC19">
        <v>1710.95</v>
      </c>
      <c r="AD19">
        <v>249.57220077220074</v>
      </c>
      <c r="AE19">
        <v>275.59845559845559</v>
      </c>
      <c r="AF19">
        <v>2330.6072393822396</v>
      </c>
      <c r="AG19">
        <v>2598.1559845559846</v>
      </c>
      <c r="AH19">
        <v>4401.3548262548256</v>
      </c>
      <c r="AI19">
        <v>4891.9706563706559</v>
      </c>
      <c r="AJ19">
        <v>2768.1489562904085</v>
      </c>
      <c r="AK19">
        <v>3359.8510437096056</v>
      </c>
      <c r="AL19">
        <v>3855.8342181467183</v>
      </c>
      <c r="AM19">
        <v>4556.1126735135012</v>
      </c>
      <c r="AO19" s="9">
        <f t="shared" si="3"/>
        <v>1.0106367500392841</v>
      </c>
      <c r="AP19" s="9">
        <f t="shared" si="4"/>
        <v>1.0627018633540379</v>
      </c>
      <c r="AQ19" s="9">
        <f t="shared" si="5"/>
        <v>1.0495577094998352</v>
      </c>
      <c r="AR19" s="9">
        <f t="shared" si="6"/>
        <v>1.0542831402154405</v>
      </c>
      <c r="AS19" s="9">
        <f t="shared" si="7"/>
        <v>1.0527922788277533</v>
      </c>
      <c r="AT19" s="9">
        <f t="shared" si="8"/>
        <v>1.0965571291480409</v>
      </c>
      <c r="AU19" s="9">
        <f t="shared" si="1"/>
        <v>1.083248083277969</v>
      </c>
    </row>
    <row r="20" spans="1:47" ht="15.75">
      <c r="A20" s="5">
        <v>16</v>
      </c>
      <c r="B20" s="9">
        <v>2020</v>
      </c>
      <c r="C20" s="9" t="s">
        <v>4</v>
      </c>
      <c r="D20" s="9" t="s">
        <v>5</v>
      </c>
      <c r="E20" s="7" t="s">
        <v>6</v>
      </c>
      <c r="F20" s="5" t="s">
        <v>69</v>
      </c>
      <c r="G20" s="7" t="s">
        <v>8</v>
      </c>
      <c r="H20" s="7" t="s">
        <v>9</v>
      </c>
      <c r="I20" s="9" t="s">
        <v>45</v>
      </c>
      <c r="J20" s="9">
        <v>0.8</v>
      </c>
      <c r="K20" s="5">
        <v>3642</v>
      </c>
      <c r="L20" s="5">
        <v>6165</v>
      </c>
      <c r="M20" s="5">
        <f t="shared" si="10"/>
        <v>5089.2924710424713</v>
      </c>
      <c r="N20" s="5">
        <f t="shared" si="11"/>
        <v>9575.8784071042355</v>
      </c>
      <c r="O20">
        <f t="shared" si="12"/>
        <v>8833.0024131274149</v>
      </c>
      <c r="P20">
        <f t="shared" si="13"/>
        <v>2324.278957528958</v>
      </c>
      <c r="Q20">
        <f t="shared" si="14"/>
        <v>551.19691119691106</v>
      </c>
      <c r="R20">
        <f t="shared" si="15"/>
        <v>528</v>
      </c>
      <c r="S20">
        <f t="shared" si="16"/>
        <v>6128.0000000000073</v>
      </c>
      <c r="T20" s="5">
        <v>327263</v>
      </c>
      <c r="U20" s="5">
        <v>47021</v>
      </c>
      <c r="V20" s="5">
        <v>71932</v>
      </c>
      <c r="W20" s="9">
        <f t="shared" si="2"/>
        <v>446216</v>
      </c>
      <c r="Y20" s="2">
        <f t="shared" si="9"/>
        <v>39194.649159999994</v>
      </c>
      <c r="Z20">
        <v>264</v>
      </c>
      <c r="AA20">
        <v>264</v>
      </c>
      <c r="AB20">
        <v>1044.3875482625483</v>
      </c>
      <c r="AC20">
        <v>1279.8914092664095</v>
      </c>
      <c r="AD20">
        <v>262.58532818532814</v>
      </c>
      <c r="AE20">
        <v>288.61158301158298</v>
      </c>
      <c r="AF20">
        <v>2437.6267374517374</v>
      </c>
      <c r="AG20">
        <v>2651.6657335907339</v>
      </c>
      <c r="AH20">
        <v>4585.7845847104145</v>
      </c>
      <c r="AI20">
        <v>4990.0938223938219</v>
      </c>
      <c r="AJ20">
        <v>2768.1489562904067</v>
      </c>
      <c r="AK20">
        <v>3359.8510437096011</v>
      </c>
      <c r="AL20">
        <v>4136.1677123552126</v>
      </c>
      <c r="AM20">
        <v>4696.8347007722014</v>
      </c>
      <c r="AO20" s="9">
        <f t="shared" si="3"/>
        <v>1</v>
      </c>
      <c r="AP20" s="9">
        <f t="shared" si="4"/>
        <v>1.1013234062292743</v>
      </c>
      <c r="AQ20" s="9">
        <f t="shared" si="5"/>
        <v>1.0472177080414684</v>
      </c>
      <c r="AR20" s="9">
        <f t="shared" si="6"/>
        <v>1.0420567293699183</v>
      </c>
      <c r="AS20" s="9">
        <f t="shared" si="7"/>
        <v>1.0422216344542821</v>
      </c>
      <c r="AT20" s="9">
        <f t="shared" si="8"/>
        <v>1.0965571291480409</v>
      </c>
      <c r="AU20" s="9">
        <f t="shared" si="1"/>
        <v>1.0634741124471716</v>
      </c>
    </row>
    <row r="21" spans="1:47" ht="15.75">
      <c r="A21" s="5">
        <v>17</v>
      </c>
      <c r="B21" s="9">
        <v>2020</v>
      </c>
      <c r="C21" s="9" t="s">
        <v>4</v>
      </c>
      <c r="D21" s="9" t="s">
        <v>5</v>
      </c>
      <c r="E21" s="7" t="s">
        <v>6</v>
      </c>
      <c r="F21" s="5" t="s">
        <v>70</v>
      </c>
      <c r="G21" s="7" t="s">
        <v>8</v>
      </c>
      <c r="H21" s="7" t="s">
        <v>9</v>
      </c>
      <c r="I21" s="9" t="s">
        <v>45</v>
      </c>
      <c r="J21" s="9">
        <v>0.8</v>
      </c>
      <c r="K21" s="5">
        <v>3595</v>
      </c>
      <c r="L21" s="5">
        <v>6165</v>
      </c>
      <c r="M21" s="5">
        <f t="shared" si="10"/>
        <v>5089.2924710424713</v>
      </c>
      <c r="N21" s="5">
        <f t="shared" si="11"/>
        <v>9489.5718146718136</v>
      </c>
      <c r="O21">
        <f t="shared" si="12"/>
        <v>8802.2045654053982</v>
      </c>
      <c r="P21">
        <f t="shared" si="13"/>
        <v>2324.278957528958</v>
      </c>
      <c r="Q21">
        <f t="shared" si="14"/>
        <v>672</v>
      </c>
      <c r="R21">
        <f t="shared" si="15"/>
        <v>524.30135135135129</v>
      </c>
      <c r="S21">
        <f t="shared" si="16"/>
        <v>6128.0000000000055</v>
      </c>
      <c r="T21" s="5">
        <v>326933</v>
      </c>
      <c r="U21" s="5">
        <v>47021</v>
      </c>
      <c r="V21" s="5">
        <v>71932</v>
      </c>
      <c r="W21" s="9">
        <f t="shared" si="2"/>
        <v>445886</v>
      </c>
      <c r="Y21" s="2">
        <f t="shared" si="9"/>
        <v>39194.649160000001</v>
      </c>
      <c r="Z21">
        <v>260.30135135135134</v>
      </c>
      <c r="AA21">
        <v>264</v>
      </c>
      <c r="AB21">
        <v>1044.3875482625483</v>
      </c>
      <c r="AC21">
        <v>1279.8914092664095</v>
      </c>
      <c r="AD21">
        <v>335.7</v>
      </c>
      <c r="AE21">
        <v>336.3</v>
      </c>
      <c r="AF21">
        <v>2437.6267374517374</v>
      </c>
      <c r="AG21">
        <v>2651.6657335907339</v>
      </c>
      <c r="AH21">
        <v>4499.4779922779917</v>
      </c>
      <c r="AI21">
        <v>4990.0938223938219</v>
      </c>
      <c r="AJ21">
        <v>2768.1489562904057</v>
      </c>
      <c r="AK21">
        <v>3359.8510437095997</v>
      </c>
      <c r="AL21">
        <v>4105.3698646331968</v>
      </c>
      <c r="AM21">
        <v>4696.8347007722014</v>
      </c>
      <c r="AO21" s="9">
        <f t="shared" si="3"/>
        <v>1.0070544327973134</v>
      </c>
      <c r="AP21" s="9">
        <f t="shared" si="4"/>
        <v>1.1013234062292743</v>
      </c>
      <c r="AQ21" s="9">
        <f t="shared" si="5"/>
        <v>1.0008928571428573</v>
      </c>
      <c r="AR21" s="9">
        <f t="shared" si="6"/>
        <v>1.0420567293699183</v>
      </c>
      <c r="AS21" s="9">
        <f t="shared" si="7"/>
        <v>1.0517005234479906</v>
      </c>
      <c r="AT21" s="9">
        <f t="shared" si="8"/>
        <v>1.0965571291480407</v>
      </c>
      <c r="AU21" s="9">
        <f t="shared" si="1"/>
        <v>1.0671950795671792</v>
      </c>
    </row>
    <row r="22" spans="1:47" ht="15.75">
      <c r="A22" s="5">
        <v>18</v>
      </c>
      <c r="B22" s="9">
        <v>2020</v>
      </c>
      <c r="C22" s="9" t="s">
        <v>4</v>
      </c>
      <c r="D22" s="9" t="s">
        <v>39</v>
      </c>
      <c r="E22" s="7" t="s">
        <v>6</v>
      </c>
      <c r="F22" s="5" t="s">
        <v>48</v>
      </c>
      <c r="G22" s="7" t="s">
        <v>8</v>
      </c>
      <c r="H22" s="7" t="s">
        <v>9</v>
      </c>
      <c r="I22" s="9" t="s">
        <v>45</v>
      </c>
      <c r="J22" s="9">
        <v>0.8</v>
      </c>
      <c r="K22" s="5">
        <v>2972</v>
      </c>
      <c r="L22" s="5">
        <v>14299</v>
      </c>
      <c r="M22" s="5">
        <f t="shared" si="10"/>
        <v>6124.0000000000055</v>
      </c>
      <c r="N22" s="5">
        <f t="shared" si="11"/>
        <v>8026.0247734138975</v>
      </c>
      <c r="O22">
        <f t="shared" si="12"/>
        <v>6602.1914652567975</v>
      </c>
      <c r="P22">
        <f t="shared" si="13"/>
        <v>1397.6418995037734</v>
      </c>
      <c r="Q22">
        <f t="shared" si="14"/>
        <v>447.64229607250752</v>
      </c>
      <c r="R22">
        <f t="shared" si="15"/>
        <v>502.17545317220538</v>
      </c>
      <c r="S22">
        <f t="shared" si="16"/>
        <v>5536.2979125808151</v>
      </c>
      <c r="T22" s="5">
        <v>332973</v>
      </c>
      <c r="U22" s="5">
        <v>89477</v>
      </c>
      <c r="V22" s="5">
        <v>35475</v>
      </c>
      <c r="W22" s="9">
        <f t="shared" si="2"/>
        <v>457925</v>
      </c>
      <c r="Y22" s="2">
        <f t="shared" si="9"/>
        <v>42934.973800000007</v>
      </c>
      <c r="Z22">
        <v>248.17934290030209</v>
      </c>
      <c r="AA22">
        <v>253.99611027190329</v>
      </c>
      <c r="AB22">
        <v>601.48376132930514</v>
      </c>
      <c r="AC22">
        <v>796.15813817446815</v>
      </c>
      <c r="AD22">
        <v>213.63867069486403</v>
      </c>
      <c r="AE22">
        <v>234.00362537764349</v>
      </c>
      <c r="AF22">
        <v>2755.8000000000056</v>
      </c>
      <c r="AG22">
        <v>3368.2000000000003</v>
      </c>
      <c r="AH22">
        <v>3859.4540785498489</v>
      </c>
      <c r="AI22">
        <v>4166.5706948640482</v>
      </c>
      <c r="AJ22">
        <v>2768.1489562904089</v>
      </c>
      <c r="AK22">
        <v>2768.1489562904062</v>
      </c>
      <c r="AL22">
        <v>3081.7411253776436</v>
      </c>
      <c r="AM22">
        <v>3520.4503398791539</v>
      </c>
      <c r="AO22" s="9">
        <f t="shared" si="3"/>
        <v>1.0115831375963462</v>
      </c>
      <c r="AP22" s="9">
        <f t="shared" si="4"/>
        <v>1.139287736661502</v>
      </c>
      <c r="AQ22" s="9">
        <f t="shared" si="5"/>
        <v>1.0454938124959505</v>
      </c>
      <c r="AR22" s="9">
        <f t="shared" si="6"/>
        <v>1.0999999999999992</v>
      </c>
      <c r="AS22" s="9">
        <f t="shared" si="7"/>
        <v>1.038265096979456</v>
      </c>
      <c r="AT22" s="9">
        <f t="shared" si="8"/>
        <v>0.99999999999999956</v>
      </c>
      <c r="AU22" s="9">
        <f t="shared" si="1"/>
        <v>1.0664490293579281</v>
      </c>
    </row>
    <row r="23" spans="1:47" ht="15.75">
      <c r="A23" s="5">
        <v>19</v>
      </c>
      <c r="B23" s="9">
        <v>2020</v>
      </c>
      <c r="C23" s="9" t="s">
        <v>4</v>
      </c>
      <c r="D23" s="9" t="s">
        <v>39</v>
      </c>
      <c r="E23" s="7" t="s">
        <v>6</v>
      </c>
      <c r="F23" s="5" t="s">
        <v>59</v>
      </c>
      <c r="G23" s="7" t="s">
        <v>8</v>
      </c>
      <c r="H23" s="7" t="s">
        <v>9</v>
      </c>
      <c r="I23" s="9" t="s">
        <v>45</v>
      </c>
      <c r="J23" s="9">
        <v>0.8</v>
      </c>
      <c r="K23" s="5">
        <v>2751</v>
      </c>
      <c r="L23" s="5">
        <v>14299</v>
      </c>
      <c r="M23" s="5">
        <f t="shared" si="10"/>
        <v>3902.7016616314199</v>
      </c>
      <c r="N23" s="5">
        <f t="shared" si="11"/>
        <v>11503.999999999967</v>
      </c>
      <c r="O23">
        <f t="shared" si="12"/>
        <v>5730.7597242772244</v>
      </c>
      <c r="P23">
        <f t="shared" si="13"/>
        <v>1064.7601963746224</v>
      </c>
      <c r="Q23">
        <f t="shared" si="14"/>
        <v>406.91238670694861</v>
      </c>
      <c r="R23">
        <f t="shared" si="15"/>
        <v>490.54191842900298</v>
      </c>
      <c r="S23">
        <f t="shared" si="16"/>
        <v>5536.297912580816</v>
      </c>
      <c r="T23" s="5">
        <v>318592</v>
      </c>
      <c r="U23" s="5">
        <v>89447</v>
      </c>
      <c r="V23" s="5">
        <v>35475</v>
      </c>
      <c r="W23" s="9">
        <f t="shared" si="2"/>
        <v>443514</v>
      </c>
      <c r="Y23" s="2">
        <f t="shared" si="9"/>
        <v>42934.973799999992</v>
      </c>
      <c r="Z23">
        <v>242.36257552870089</v>
      </c>
      <c r="AA23">
        <v>248.17934290030209</v>
      </c>
      <c r="AB23">
        <v>417.20732628398792</v>
      </c>
      <c r="AC23">
        <v>647.55287009063443</v>
      </c>
      <c r="AD23">
        <v>193.27371601208458</v>
      </c>
      <c r="AE23">
        <v>213.63867069486403</v>
      </c>
      <c r="AF23">
        <v>1867.6104984894259</v>
      </c>
      <c r="AG23">
        <v>2035.091163141994</v>
      </c>
      <c r="AH23">
        <v>5176.7999999999674</v>
      </c>
      <c r="AI23">
        <v>6327.2000000000007</v>
      </c>
      <c r="AJ23">
        <v>2768.1489562904085</v>
      </c>
      <c r="AK23">
        <v>2768.1489562904071</v>
      </c>
      <c r="AL23">
        <v>2643.0319108761328</v>
      </c>
      <c r="AM23">
        <v>3087.7278134010917</v>
      </c>
      <c r="AO23" s="9">
        <f t="shared" si="3"/>
        <v>1.0118578395710398</v>
      </c>
      <c r="AP23" s="9">
        <f t="shared" si="4"/>
        <v>1.2163356073892926</v>
      </c>
      <c r="AQ23" s="9">
        <f t="shared" si="5"/>
        <v>1.0500475172249941</v>
      </c>
      <c r="AR23" s="9">
        <f t="shared" si="6"/>
        <v>1.0429140321688226</v>
      </c>
      <c r="AS23" s="9">
        <f t="shared" si="7"/>
        <v>1.1000000000000032</v>
      </c>
      <c r="AT23" s="9">
        <f t="shared" si="8"/>
        <v>0.99999999999999967</v>
      </c>
      <c r="AU23" s="9">
        <f t="shared" si="1"/>
        <v>1.0775980714461109</v>
      </c>
    </row>
    <row r="24" spans="1:47" ht="15.75">
      <c r="A24" s="5">
        <v>20</v>
      </c>
      <c r="B24" s="9">
        <v>2020</v>
      </c>
      <c r="C24" s="9" t="s">
        <v>4</v>
      </c>
      <c r="D24" s="9" t="s">
        <v>39</v>
      </c>
      <c r="E24" s="7" t="s">
        <v>6</v>
      </c>
      <c r="F24" s="5" t="s">
        <v>60</v>
      </c>
      <c r="G24" s="7" t="s">
        <v>8</v>
      </c>
      <c r="H24" s="7" t="s">
        <v>9</v>
      </c>
      <c r="I24" s="9" t="s">
        <v>45</v>
      </c>
      <c r="J24" s="9">
        <v>0.8</v>
      </c>
      <c r="K24" s="5">
        <v>3015</v>
      </c>
      <c r="L24" s="5">
        <v>14299</v>
      </c>
      <c r="M24" s="5">
        <f t="shared" si="10"/>
        <v>3567.7403323262843</v>
      </c>
      <c r="N24" s="5">
        <f t="shared" si="11"/>
        <v>6797.5583081570994</v>
      </c>
      <c r="O24">
        <f t="shared" si="12"/>
        <v>11209.999999999982</v>
      </c>
      <c r="P24">
        <f t="shared" si="13"/>
        <v>679.28638590862693</v>
      </c>
      <c r="Q24">
        <f t="shared" si="14"/>
        <v>366.1824773413897</v>
      </c>
      <c r="R24">
        <f t="shared" si="15"/>
        <v>478.90838368580057</v>
      </c>
      <c r="S24">
        <f t="shared" si="16"/>
        <v>5536.2979125808197</v>
      </c>
      <c r="T24" s="5">
        <v>320978</v>
      </c>
      <c r="U24" s="5">
        <v>89448</v>
      </c>
      <c r="V24" s="5">
        <v>35475</v>
      </c>
      <c r="W24" s="9">
        <f t="shared" si="2"/>
        <v>445901</v>
      </c>
      <c r="Y24" s="2">
        <f t="shared" si="9"/>
        <v>42934.9738</v>
      </c>
      <c r="Z24">
        <v>238</v>
      </c>
      <c r="AA24">
        <v>240.9083836858006</v>
      </c>
      <c r="AB24">
        <v>279</v>
      </c>
      <c r="AC24">
        <v>400.28638590862687</v>
      </c>
      <c r="AD24">
        <v>178</v>
      </c>
      <c r="AE24">
        <v>188.18247734138973</v>
      </c>
      <c r="AF24">
        <v>1742</v>
      </c>
      <c r="AG24">
        <v>1825.740332326284</v>
      </c>
      <c r="AH24">
        <v>3322</v>
      </c>
      <c r="AI24">
        <v>3475.5583081570994</v>
      </c>
      <c r="AJ24">
        <v>2768.1489562904062</v>
      </c>
      <c r="AK24">
        <v>2768.148956290413</v>
      </c>
      <c r="AL24">
        <v>5044.9999999999827</v>
      </c>
      <c r="AM24">
        <v>6165</v>
      </c>
      <c r="AO24" s="9">
        <f t="shared" si="3"/>
        <v>1.0060729437714515</v>
      </c>
      <c r="AP24" s="9">
        <f t="shared" si="4"/>
        <v>1.1785497080828313</v>
      </c>
      <c r="AQ24" s="9">
        <f t="shared" si="5"/>
        <v>1.0278071124957098</v>
      </c>
      <c r="AR24" s="9">
        <f t="shared" si="6"/>
        <v>1.0234715322658257</v>
      </c>
      <c r="AS24" s="9">
        <f t="shared" si="7"/>
        <v>1.0225902156621192</v>
      </c>
      <c r="AT24" s="9">
        <f t="shared" si="8"/>
        <v>1.0000000000000011</v>
      </c>
      <c r="AU24" s="9">
        <f t="shared" si="1"/>
        <v>1.0999107939339894</v>
      </c>
    </row>
    <row r="25" spans="1:47" ht="15.75">
      <c r="A25" s="5">
        <f>A24+1</f>
        <v>21</v>
      </c>
      <c r="B25" s="9">
        <v>2020</v>
      </c>
      <c r="C25" s="9" t="s">
        <v>4</v>
      </c>
      <c r="D25" s="9" t="s">
        <v>39</v>
      </c>
      <c r="E25" s="7" t="s">
        <v>6</v>
      </c>
      <c r="F25" s="5" t="s">
        <v>68</v>
      </c>
      <c r="G25" s="7" t="s">
        <v>8</v>
      </c>
      <c r="H25" s="7" t="s">
        <v>9</v>
      </c>
      <c r="I25" s="9" t="s">
        <v>45</v>
      </c>
      <c r="J25" s="9">
        <v>0.8</v>
      </c>
      <c r="K25" s="5">
        <v>3158</v>
      </c>
      <c r="L25" s="5">
        <v>14299</v>
      </c>
      <c r="M25" s="5">
        <f t="shared" si="10"/>
        <v>4237.6629909365565</v>
      </c>
      <c r="N25" s="5">
        <f t="shared" si="11"/>
        <v>8026.0247734138975</v>
      </c>
      <c r="O25">
        <f t="shared" si="12"/>
        <v>6666.1703738240267</v>
      </c>
      <c r="P25">
        <f t="shared" si="13"/>
        <v>3219.9999999999964</v>
      </c>
      <c r="Q25">
        <f t="shared" si="14"/>
        <v>447.64229607250752</v>
      </c>
      <c r="R25">
        <f t="shared" si="15"/>
        <v>502.17545317220538</v>
      </c>
      <c r="S25">
        <f t="shared" si="16"/>
        <v>5536.2979125808179</v>
      </c>
      <c r="T25" s="5">
        <v>341426</v>
      </c>
      <c r="U25" s="5">
        <v>89448</v>
      </c>
      <c r="V25" s="5">
        <v>35475</v>
      </c>
      <c r="W25" s="9">
        <f t="shared" si="2"/>
        <v>466349</v>
      </c>
      <c r="Y25" s="2">
        <f t="shared" si="9"/>
        <v>42934.973800000007</v>
      </c>
      <c r="Z25">
        <v>248.17934290030209</v>
      </c>
      <c r="AA25">
        <v>253.99611027190329</v>
      </c>
      <c r="AB25">
        <v>1509.0499999999961</v>
      </c>
      <c r="AC25">
        <v>1710.95</v>
      </c>
      <c r="AD25">
        <v>213.63867069486403</v>
      </c>
      <c r="AE25">
        <v>234.00362537764349</v>
      </c>
      <c r="AF25">
        <v>2035.091163141994</v>
      </c>
      <c r="AG25">
        <v>2202.5718277945621</v>
      </c>
      <c r="AH25">
        <v>3859.4540785498489</v>
      </c>
      <c r="AI25">
        <v>4166.5706948640482</v>
      </c>
      <c r="AJ25">
        <v>2768.148956290408</v>
      </c>
      <c r="AK25">
        <v>2768.1489562904098</v>
      </c>
      <c r="AL25">
        <v>3081.7411253776436</v>
      </c>
      <c r="AM25">
        <v>3584.4292484463831</v>
      </c>
      <c r="AO25" s="9">
        <f t="shared" si="3"/>
        <v>1.0115831375963462</v>
      </c>
      <c r="AP25" s="9">
        <f t="shared" si="4"/>
        <v>1.0627018633540386</v>
      </c>
      <c r="AQ25" s="9">
        <f t="shared" si="5"/>
        <v>1.0454938124959505</v>
      </c>
      <c r="AR25" s="9">
        <f t="shared" si="6"/>
        <v>1.0395219405155087</v>
      </c>
      <c r="AS25" s="9">
        <f t="shared" si="7"/>
        <v>1.038265096979456</v>
      </c>
      <c r="AT25" s="9">
        <f t="shared" si="8"/>
        <v>1.0000000000000002</v>
      </c>
      <c r="AU25" s="9">
        <f t="shared" si="1"/>
        <v>1.0754088321898641</v>
      </c>
    </row>
    <row r="26" spans="1:47" ht="15.75">
      <c r="A26" s="5">
        <f>A25+1</f>
        <v>22</v>
      </c>
      <c r="B26" s="9">
        <v>2020</v>
      </c>
      <c r="C26" s="9" t="s">
        <v>4</v>
      </c>
      <c r="D26" s="9" t="s">
        <v>39</v>
      </c>
      <c r="E26" s="7" t="s">
        <v>6</v>
      </c>
      <c r="F26" s="5" t="s">
        <v>69</v>
      </c>
      <c r="G26" s="7" t="s">
        <v>8</v>
      </c>
      <c r="H26" s="7" t="s">
        <v>9</v>
      </c>
      <c r="I26" s="9" t="s">
        <v>45</v>
      </c>
      <c r="J26" s="9">
        <v>0.8</v>
      </c>
      <c r="K26" s="5">
        <v>2825</v>
      </c>
      <c r="L26" s="5">
        <v>14299</v>
      </c>
      <c r="M26" s="5">
        <f t="shared" si="10"/>
        <v>4405.1436555891232</v>
      </c>
      <c r="N26" s="5">
        <f t="shared" si="11"/>
        <v>8333.1413897280963</v>
      </c>
      <c r="O26">
        <f t="shared" si="12"/>
        <v>7095.6050024169135</v>
      </c>
      <c r="P26">
        <f t="shared" si="13"/>
        <v>1617.5895015105741</v>
      </c>
      <c r="Q26">
        <f t="shared" si="14"/>
        <v>468.00725075528698</v>
      </c>
      <c r="R26">
        <f t="shared" si="15"/>
        <v>528</v>
      </c>
      <c r="S26">
        <f t="shared" si="16"/>
        <v>6128.0000000000073</v>
      </c>
      <c r="T26" s="5">
        <v>338884</v>
      </c>
      <c r="U26" s="5">
        <v>89447</v>
      </c>
      <c r="V26" s="5">
        <v>35475</v>
      </c>
      <c r="W26" s="9">
        <f t="shared" si="2"/>
        <v>463806</v>
      </c>
      <c r="Y26" s="2">
        <f t="shared" si="9"/>
        <v>42874.486800000006</v>
      </c>
      <c r="Z26">
        <v>264</v>
      </c>
      <c r="AA26">
        <v>264</v>
      </c>
      <c r="AB26">
        <v>693.62197885196383</v>
      </c>
      <c r="AC26">
        <v>923.96752265861028</v>
      </c>
      <c r="AD26">
        <v>223.82114803625376</v>
      </c>
      <c r="AE26">
        <v>244.18610271903322</v>
      </c>
      <c r="AF26">
        <v>2118.8314954682778</v>
      </c>
      <c r="AG26">
        <v>2286.3121601208459</v>
      </c>
      <c r="AH26">
        <v>4013.0123867069483</v>
      </c>
      <c r="AI26">
        <v>4320.1290030211476</v>
      </c>
      <c r="AJ26">
        <v>2768.1489562904062</v>
      </c>
      <c r="AK26">
        <v>3359.8510437096011</v>
      </c>
      <c r="AL26">
        <v>3301.0957326283988</v>
      </c>
      <c r="AM26">
        <v>3794.5092697885148</v>
      </c>
      <c r="AO26" s="9">
        <f t="shared" si="3"/>
        <v>1</v>
      </c>
      <c r="AP26" s="9">
        <f t="shared" si="4"/>
        <v>1.1424004938159773</v>
      </c>
      <c r="AQ26" s="9">
        <f t="shared" si="5"/>
        <v>1.0435141862650925</v>
      </c>
      <c r="AR26" s="9">
        <f t="shared" si="6"/>
        <v>1.0380193423295228</v>
      </c>
      <c r="AS26" s="9">
        <f t="shared" si="7"/>
        <v>1.0368548428438726</v>
      </c>
      <c r="AT26" s="9">
        <f t="shared" si="8"/>
        <v>1.0965571291480409</v>
      </c>
      <c r="AU26" s="9">
        <f t="shared" si="1"/>
        <v>1.0695379093103476</v>
      </c>
    </row>
    <row r="27" spans="1:47" ht="15.75">
      <c r="A27" s="5">
        <f>A26+1</f>
        <v>23</v>
      </c>
      <c r="B27" s="9">
        <v>2020</v>
      </c>
      <c r="C27" s="9" t="s">
        <v>4</v>
      </c>
      <c r="D27" s="9" t="s">
        <v>39</v>
      </c>
      <c r="E27" s="7" t="s">
        <v>6</v>
      </c>
      <c r="F27" s="5" t="s">
        <v>70</v>
      </c>
      <c r="G27" s="7" t="s">
        <v>8</v>
      </c>
      <c r="H27" s="7" t="s">
        <v>9</v>
      </c>
      <c r="I27" s="9" t="s">
        <v>45</v>
      </c>
      <c r="J27" s="9">
        <v>0.8</v>
      </c>
      <c r="K27" s="5">
        <v>2924</v>
      </c>
      <c r="L27" s="5">
        <v>14299</v>
      </c>
      <c r="M27" s="5">
        <f t="shared" si="10"/>
        <v>4405.1436555891232</v>
      </c>
      <c r="N27" s="5">
        <f t="shared" si="11"/>
        <v>8333.1413897280963</v>
      </c>
      <c r="O27">
        <f t="shared" si="12"/>
        <v>7040.9006797583079</v>
      </c>
      <c r="P27">
        <f t="shared" si="13"/>
        <v>1571.5203927492448</v>
      </c>
      <c r="Q27">
        <f t="shared" si="14"/>
        <v>672.00000000000068</v>
      </c>
      <c r="R27">
        <f t="shared" si="15"/>
        <v>507.99222054380658</v>
      </c>
      <c r="S27">
        <f t="shared" si="16"/>
        <v>6081.0806616314239</v>
      </c>
      <c r="T27" s="5">
        <v>339303</v>
      </c>
      <c r="U27" s="5">
        <v>89448</v>
      </c>
      <c r="V27" s="5">
        <v>35475</v>
      </c>
      <c r="W27" s="9">
        <f t="shared" si="2"/>
        <v>464226</v>
      </c>
      <c r="Y27" s="2">
        <f t="shared" si="9"/>
        <v>42910.779000000002</v>
      </c>
      <c r="Z27">
        <v>251.08772658610269</v>
      </c>
      <c r="AA27">
        <v>256.90449395770389</v>
      </c>
      <c r="AB27">
        <v>693.62197885196383</v>
      </c>
      <c r="AC27">
        <v>877.89841389728099</v>
      </c>
      <c r="AD27">
        <v>335.70000000000067</v>
      </c>
      <c r="AE27">
        <v>336.3</v>
      </c>
      <c r="AF27">
        <v>2118.8314954682778</v>
      </c>
      <c r="AG27">
        <v>2286.3121601208459</v>
      </c>
      <c r="AH27">
        <v>4013.0123867069483</v>
      </c>
      <c r="AI27">
        <v>4320.1290030211476</v>
      </c>
      <c r="AJ27">
        <v>2768.1489562904076</v>
      </c>
      <c r="AK27">
        <v>3312.9317053410164</v>
      </c>
      <c r="AL27">
        <v>3301.0957326283988</v>
      </c>
      <c r="AM27">
        <v>3739.8049471299091</v>
      </c>
      <c r="AO27" s="9">
        <f t="shared" si="3"/>
        <v>1.0114505048234288</v>
      </c>
      <c r="AP27" s="9">
        <f t="shared" si="4"/>
        <v>1.1172599705963349</v>
      </c>
      <c r="AQ27" s="9">
        <f t="shared" si="5"/>
        <v>1.0008928571428561</v>
      </c>
      <c r="AR27" s="9">
        <f t="shared" si="6"/>
        <v>1.0380193423295228</v>
      </c>
      <c r="AS27" s="9">
        <f t="shared" si="7"/>
        <v>1.0368548428438726</v>
      </c>
      <c r="AT27" s="9">
        <f t="shared" si="8"/>
        <v>1.0895865026898781</v>
      </c>
      <c r="AU27" s="9">
        <f t="shared" si="1"/>
        <v>1.0623086781727717</v>
      </c>
    </row>
    <row r="28" spans="1:47" ht="15.75">
      <c r="A28" s="5">
        <f>A27+1</f>
        <v>24</v>
      </c>
      <c r="B28" s="9">
        <v>2020</v>
      </c>
      <c r="C28" s="9" t="s">
        <v>4</v>
      </c>
      <c r="D28" s="9" t="s">
        <v>39</v>
      </c>
      <c r="E28" s="7" t="s">
        <v>6</v>
      </c>
      <c r="F28" s="7" t="s">
        <v>7</v>
      </c>
      <c r="G28" s="7" t="s">
        <v>8</v>
      </c>
      <c r="H28" s="7" t="s">
        <v>9</v>
      </c>
      <c r="I28" s="9" t="s">
        <v>47</v>
      </c>
      <c r="J28" s="9">
        <v>0.8</v>
      </c>
      <c r="K28" s="5">
        <v>2250</v>
      </c>
      <c r="L28" s="5">
        <v>14299</v>
      </c>
      <c r="M28" s="5">
        <f t="shared" si="10"/>
        <v>4405.1436555891241</v>
      </c>
      <c r="N28" s="5">
        <f t="shared" si="11"/>
        <v>8333.1413897280963</v>
      </c>
      <c r="O28">
        <f t="shared" si="12"/>
        <v>7115.6127818731056</v>
      </c>
      <c r="P28">
        <f t="shared" si="13"/>
        <v>1617.5895015105741</v>
      </c>
      <c r="Q28">
        <f t="shared" si="14"/>
        <v>468.00725075528698</v>
      </c>
      <c r="R28">
        <f t="shared" si="15"/>
        <v>507.99222054380664</v>
      </c>
      <c r="S28">
        <f t="shared" si="16"/>
        <v>6128.0000000000073</v>
      </c>
      <c r="T28" s="5">
        <v>340919</v>
      </c>
      <c r="U28" s="5">
        <v>89447</v>
      </c>
      <c r="V28" s="5">
        <v>35475</v>
      </c>
      <c r="W28" s="9">
        <f t="shared" si="2"/>
        <v>465841</v>
      </c>
      <c r="Y28" s="2">
        <f t="shared" si="9"/>
        <v>42874.486799999999</v>
      </c>
      <c r="Z28">
        <v>248.17934290030209</v>
      </c>
      <c r="AA28">
        <v>259.81287764350452</v>
      </c>
      <c r="AB28">
        <v>601.48376132930514</v>
      </c>
      <c r="AC28">
        <v>1016.105740181269</v>
      </c>
      <c r="AD28">
        <v>213.63867069486403</v>
      </c>
      <c r="AE28">
        <v>254.36858006042294</v>
      </c>
      <c r="AF28">
        <v>2035.091163141994</v>
      </c>
      <c r="AG28">
        <v>2370.0524924471301</v>
      </c>
      <c r="AH28">
        <v>3859.4540785498489</v>
      </c>
      <c r="AI28">
        <v>4473.687311178247</v>
      </c>
      <c r="AJ28">
        <v>2768.1489562904076</v>
      </c>
      <c r="AK28">
        <v>3359.8510437096002</v>
      </c>
      <c r="AL28">
        <v>3081.7411253776436</v>
      </c>
      <c r="AM28">
        <v>4033.871656495462</v>
      </c>
      <c r="AO28" s="9">
        <f t="shared" si="3"/>
        <v>1.0229010096468578</v>
      </c>
      <c r="AP28" s="9">
        <f t="shared" si="4"/>
        <v>1.2563208888687594</v>
      </c>
      <c r="AQ28" s="9">
        <f t="shared" si="5"/>
        <v>1.0870283725301852</v>
      </c>
      <c r="AR28" s="9">
        <f t="shared" si="6"/>
        <v>1.0760386846590455</v>
      </c>
      <c r="AS28" s="9">
        <f t="shared" si="7"/>
        <v>1.0737096856877451</v>
      </c>
      <c r="AT28" s="9">
        <f t="shared" si="8"/>
        <v>1.0965571291480405</v>
      </c>
      <c r="AU28" s="9">
        <f t="shared" si="1"/>
        <v>1.1338086487144654</v>
      </c>
    </row>
    <row r="29" spans="1:47" ht="15.75">
      <c r="A29" s="5">
        <f>A28+1</f>
        <v>25</v>
      </c>
      <c r="B29" s="9">
        <v>2020</v>
      </c>
      <c r="C29" s="9" t="s">
        <v>4</v>
      </c>
      <c r="D29" s="9" t="s">
        <v>5</v>
      </c>
      <c r="E29" s="7" t="s">
        <v>6</v>
      </c>
      <c r="F29" s="7" t="s">
        <v>7</v>
      </c>
      <c r="G29" s="7" t="s">
        <v>8</v>
      </c>
      <c r="H29" s="7" t="s">
        <v>9</v>
      </c>
      <c r="I29" s="9" t="s">
        <v>47</v>
      </c>
      <c r="J29" s="9">
        <v>0.8</v>
      </c>
      <c r="K29" s="5">
        <v>2928</v>
      </c>
      <c r="L29" s="5">
        <v>6165</v>
      </c>
      <c r="M29" s="5">
        <f t="shared" si="10"/>
        <v>5089.2924710424713</v>
      </c>
      <c r="N29" s="5">
        <f t="shared" si="11"/>
        <v>9583.2939476447827</v>
      </c>
      <c r="O29">
        <f t="shared" si="12"/>
        <v>8833.0024131274131</v>
      </c>
      <c r="P29">
        <f t="shared" si="13"/>
        <v>2324.278957528958</v>
      </c>
      <c r="Q29">
        <f t="shared" si="14"/>
        <v>551.19691119691106</v>
      </c>
      <c r="R29">
        <f t="shared" si="15"/>
        <v>520.58445945945937</v>
      </c>
      <c r="S29">
        <f t="shared" si="16"/>
        <v>6128.0000000000027</v>
      </c>
      <c r="T29" s="5">
        <v>329040</v>
      </c>
      <c r="U29" s="5">
        <v>47021</v>
      </c>
      <c r="V29" s="5">
        <v>71932</v>
      </c>
      <c r="W29" s="9">
        <f t="shared" si="2"/>
        <v>447993</v>
      </c>
      <c r="Y29" s="2">
        <f t="shared" si="9"/>
        <v>39194.649159999994</v>
      </c>
      <c r="Z29">
        <v>256.58445945945942</v>
      </c>
      <c r="AA29">
        <v>264</v>
      </c>
      <c r="AB29">
        <v>926.63561776061783</v>
      </c>
      <c r="AC29">
        <v>1397.64333976834</v>
      </c>
      <c r="AD29">
        <v>249.57220077220074</v>
      </c>
      <c r="AE29">
        <v>301.62471042471037</v>
      </c>
      <c r="AF29">
        <v>2330.6072393822396</v>
      </c>
      <c r="AG29">
        <v>2758.6852316602317</v>
      </c>
      <c r="AH29">
        <v>4396.9537932046287</v>
      </c>
      <c r="AI29">
        <v>5186.340154440154</v>
      </c>
      <c r="AJ29">
        <v>2768.1489562904062</v>
      </c>
      <c r="AK29">
        <v>3359.8510437095965</v>
      </c>
      <c r="AL29">
        <v>3855.8342181467183</v>
      </c>
      <c r="AM29">
        <v>4977.1681949806953</v>
      </c>
      <c r="AO29" s="9">
        <f t="shared" si="3"/>
        <v>1.0142446444679514</v>
      </c>
      <c r="AP29" s="9">
        <f t="shared" si="4"/>
        <v>1.2026468124585488</v>
      </c>
      <c r="AQ29" s="9">
        <f t="shared" si="5"/>
        <v>1.0944354160829364</v>
      </c>
      <c r="AR29" s="9">
        <f t="shared" si="6"/>
        <v>1.0841134587398367</v>
      </c>
      <c r="AS29" s="9">
        <f t="shared" si="7"/>
        <v>1.0823710892672271</v>
      </c>
      <c r="AT29" s="9">
        <f t="shared" si="8"/>
        <v>1.09655712914804</v>
      </c>
      <c r="AU29" s="9">
        <f t="shared" si="1"/>
        <v>1.1269482248943434</v>
      </c>
    </row>
    <row r="30" spans="1:47" ht="15.75">
      <c r="A30" s="5">
        <f t="shared" ref="A30:A41" si="17">A29+1</f>
        <v>26</v>
      </c>
      <c r="B30" s="9">
        <v>2020</v>
      </c>
      <c r="C30" s="9" t="s">
        <v>4</v>
      </c>
      <c r="D30" s="9" t="s">
        <v>5</v>
      </c>
      <c r="E30" s="7" t="s">
        <v>6</v>
      </c>
      <c r="F30" s="5" t="s">
        <v>48</v>
      </c>
      <c r="G30" s="7" t="s">
        <v>8</v>
      </c>
      <c r="H30" s="7" t="s">
        <v>9</v>
      </c>
      <c r="I30" s="9" t="s">
        <v>47</v>
      </c>
      <c r="J30" s="9">
        <v>0.8</v>
      </c>
      <c r="K30" s="5">
        <v>2688</v>
      </c>
      <c r="L30" s="5">
        <v>6165</v>
      </c>
      <c r="M30" s="5">
        <f t="shared" si="10"/>
        <v>6123.9999999999991</v>
      </c>
      <c r="N30" s="5">
        <f t="shared" si="11"/>
        <v>9293.3254826254815</v>
      </c>
      <c r="O30">
        <f t="shared" si="12"/>
        <v>8412.1389109652464</v>
      </c>
      <c r="P30">
        <f t="shared" si="13"/>
        <v>2088.7750965250971</v>
      </c>
      <c r="Q30">
        <f t="shared" si="14"/>
        <v>525.17065637065639</v>
      </c>
      <c r="R30">
        <f t="shared" si="15"/>
        <v>518.72601351351352</v>
      </c>
      <c r="S30">
        <f t="shared" si="16"/>
        <v>6128.0000000000073</v>
      </c>
      <c r="T30" s="5">
        <v>314625</v>
      </c>
      <c r="U30" s="5">
        <v>47021</v>
      </c>
      <c r="V30" s="5">
        <v>71932</v>
      </c>
      <c r="W30" s="9">
        <f t="shared" si="2"/>
        <v>433578</v>
      </c>
      <c r="Y30" s="2">
        <f t="shared" si="9"/>
        <v>39255.136160000002</v>
      </c>
      <c r="Z30">
        <v>254.72601351351349</v>
      </c>
      <c r="AA30">
        <v>264</v>
      </c>
      <c r="AB30">
        <v>808.88368725868736</v>
      </c>
      <c r="AC30">
        <v>1279.8914092664095</v>
      </c>
      <c r="AD30">
        <v>236.55907335907335</v>
      </c>
      <c r="AE30">
        <v>288.61158301158298</v>
      </c>
      <c r="AF30">
        <v>2755.7999999999988</v>
      </c>
      <c r="AG30">
        <v>3368.2000000000003</v>
      </c>
      <c r="AH30">
        <v>4205.1084942084935</v>
      </c>
      <c r="AI30">
        <v>5088.216988416988</v>
      </c>
      <c r="AJ30">
        <v>2768.1489562904053</v>
      </c>
      <c r="AK30">
        <v>3359.851043709602</v>
      </c>
      <c r="AL30">
        <v>3575.5007239382239</v>
      </c>
      <c r="AM30">
        <v>4836.6381870270225</v>
      </c>
      <c r="AO30" s="9">
        <f t="shared" si="3"/>
        <v>1.0178783909904008</v>
      </c>
      <c r="AP30" s="9">
        <f t="shared" si="4"/>
        <v>1.2254947039493596</v>
      </c>
      <c r="AQ30" s="9">
        <f t="shared" si="5"/>
        <v>1.0991154189996706</v>
      </c>
      <c r="AR30" s="9">
        <f t="shared" si="6"/>
        <v>1.1000000000000003</v>
      </c>
      <c r="AS30" s="9">
        <f t="shared" si="7"/>
        <v>1.0950261018899561</v>
      </c>
      <c r="AT30" s="9">
        <f t="shared" si="8"/>
        <v>1.0965571291480412</v>
      </c>
      <c r="AU30" s="9">
        <f t="shared" si="1"/>
        <v>1.1499187634009351</v>
      </c>
    </row>
    <row r="31" spans="1:47" ht="15.75">
      <c r="A31" s="5">
        <f t="shared" si="17"/>
        <v>27</v>
      </c>
      <c r="B31" s="9">
        <v>2020</v>
      </c>
      <c r="C31" s="9" t="s">
        <v>4</v>
      </c>
      <c r="D31" s="9" t="s">
        <v>5</v>
      </c>
      <c r="E31" s="7" t="s">
        <v>6</v>
      </c>
      <c r="F31" s="5" t="s">
        <v>59</v>
      </c>
      <c r="G31" s="7" t="s">
        <v>8</v>
      </c>
      <c r="H31" s="7" t="s">
        <v>9</v>
      </c>
      <c r="I31" s="9" t="s">
        <v>47</v>
      </c>
      <c r="J31" s="9">
        <v>0.8</v>
      </c>
      <c r="K31" s="5">
        <v>2606</v>
      </c>
      <c r="L31" s="5">
        <v>6165</v>
      </c>
      <c r="M31" s="5">
        <f t="shared" si="10"/>
        <v>4714.7242277992282</v>
      </c>
      <c r="N31" s="5">
        <f t="shared" si="11"/>
        <v>11504.000000000002</v>
      </c>
      <c r="O31">
        <f t="shared" si="12"/>
        <v>7851.835183397684</v>
      </c>
      <c r="P31">
        <f t="shared" si="13"/>
        <v>1877.4232256370578</v>
      </c>
      <c r="Q31">
        <f t="shared" si="14"/>
        <v>499.14440154440149</v>
      </c>
      <c r="R31">
        <f t="shared" si="15"/>
        <v>515.0091216216216</v>
      </c>
      <c r="S31">
        <f t="shared" si="16"/>
        <v>6128.0000000000027</v>
      </c>
      <c r="T31" s="5">
        <v>302059</v>
      </c>
      <c r="U31" s="5">
        <v>47021</v>
      </c>
      <c r="V31" s="5">
        <v>71932</v>
      </c>
      <c r="W31" s="9">
        <f t="shared" si="2"/>
        <v>421012</v>
      </c>
      <c r="Y31" s="2">
        <f t="shared" si="9"/>
        <v>39255.136159999995</v>
      </c>
      <c r="Z31">
        <v>251.0091216216216</v>
      </c>
      <c r="AA31">
        <v>264</v>
      </c>
      <c r="AB31">
        <v>691.13175675675677</v>
      </c>
      <c r="AC31">
        <v>1186.291468880301</v>
      </c>
      <c r="AD31">
        <v>223.54594594594593</v>
      </c>
      <c r="AE31">
        <v>275.59845559845559</v>
      </c>
      <c r="AF31">
        <v>2116.5682432432432</v>
      </c>
      <c r="AG31">
        <v>2598.1559845559846</v>
      </c>
      <c r="AH31">
        <v>5176.8000000000011</v>
      </c>
      <c r="AI31">
        <v>6327.2000000000007</v>
      </c>
      <c r="AJ31">
        <v>2768.1489562904053</v>
      </c>
      <c r="AK31">
        <v>3359.8510437095974</v>
      </c>
      <c r="AL31">
        <v>3295.16722972973</v>
      </c>
      <c r="AM31">
        <v>4556.667953667954</v>
      </c>
      <c r="AO31" s="9">
        <f t="shared" si="3"/>
        <v>1.0252245597854146</v>
      </c>
      <c r="AP31" s="9">
        <f t="shared" si="4"/>
        <v>1.2637443200669491</v>
      </c>
      <c r="AQ31" s="9">
        <f t="shared" si="5"/>
        <v>1.1042834688548127</v>
      </c>
      <c r="AR31" s="9">
        <f t="shared" si="6"/>
        <v>1.1021454740604288</v>
      </c>
      <c r="AS31" s="9">
        <f t="shared" si="7"/>
        <v>1.0999999999999999</v>
      </c>
      <c r="AT31" s="9">
        <f t="shared" si="8"/>
        <v>1.0965571291480405</v>
      </c>
      <c r="AU31" s="9">
        <f t="shared" si="1"/>
        <v>1.1606631691156233</v>
      </c>
    </row>
    <row r="32" spans="1:47" ht="15.75">
      <c r="A32" s="5">
        <f t="shared" si="17"/>
        <v>28</v>
      </c>
      <c r="B32" s="9">
        <v>2020</v>
      </c>
      <c r="C32" s="9" t="s">
        <v>4</v>
      </c>
      <c r="D32" s="9" t="s">
        <v>5</v>
      </c>
      <c r="E32" s="7" t="s">
        <v>6</v>
      </c>
      <c r="F32" s="5" t="s">
        <v>60</v>
      </c>
      <c r="G32" s="7" t="s">
        <v>8</v>
      </c>
      <c r="H32" s="7" t="s">
        <v>9</v>
      </c>
      <c r="I32" s="9" t="s">
        <v>47</v>
      </c>
      <c r="J32" s="9">
        <v>0.8</v>
      </c>
      <c r="K32" s="5">
        <v>2826</v>
      </c>
      <c r="L32" s="5">
        <v>6165</v>
      </c>
      <c r="M32" s="5">
        <f t="shared" si="10"/>
        <v>4500.6852316602317</v>
      </c>
      <c r="N32" s="5">
        <f t="shared" si="11"/>
        <v>8535.4004746718092</v>
      </c>
      <c r="O32">
        <f t="shared" si="12"/>
        <v>11210</v>
      </c>
      <c r="P32">
        <f t="shared" si="13"/>
        <v>1725.1335135135137</v>
      </c>
      <c r="Q32">
        <f t="shared" si="14"/>
        <v>479.62471042471043</v>
      </c>
      <c r="R32">
        <f t="shared" si="15"/>
        <v>511.29222972972968</v>
      </c>
      <c r="S32">
        <f t="shared" si="16"/>
        <v>6128.0000000000073</v>
      </c>
      <c r="T32" s="5">
        <v>302693</v>
      </c>
      <c r="U32" s="5">
        <v>47021</v>
      </c>
      <c r="V32" s="5">
        <v>71932</v>
      </c>
      <c r="W32" s="9">
        <f t="shared" si="2"/>
        <v>421646</v>
      </c>
      <c r="Y32" s="2">
        <f t="shared" si="9"/>
        <v>39255.136159999995</v>
      </c>
      <c r="Z32">
        <v>247.29222972972971</v>
      </c>
      <c r="AA32">
        <v>264</v>
      </c>
      <c r="AB32">
        <v>621.87</v>
      </c>
      <c r="AC32">
        <v>1103.2635135135135</v>
      </c>
      <c r="AD32">
        <v>210.53281853281854</v>
      </c>
      <c r="AE32">
        <v>269.09189189189186</v>
      </c>
      <c r="AF32">
        <v>2009.5487451737451</v>
      </c>
      <c r="AG32">
        <v>2491.1364864864868</v>
      </c>
      <c r="AH32">
        <v>3839.6761503474845</v>
      </c>
      <c r="AI32">
        <v>4695.7243243243238</v>
      </c>
      <c r="AJ32">
        <v>2768.1489562904044</v>
      </c>
      <c r="AK32">
        <v>3359.8510437096029</v>
      </c>
      <c r="AL32">
        <v>5045</v>
      </c>
      <c r="AM32">
        <v>6165</v>
      </c>
      <c r="AO32" s="9">
        <f t="shared" si="3"/>
        <v>1.0326775360523317</v>
      </c>
      <c r="AP32" s="9">
        <f t="shared" si="4"/>
        <v>1.2790471054805941</v>
      </c>
      <c r="AQ32" s="9">
        <f t="shared" si="5"/>
        <v>1.1220935287241953</v>
      </c>
      <c r="AR32" s="9">
        <f t="shared" si="6"/>
        <v>1.107003204295425</v>
      </c>
      <c r="AS32" s="9">
        <f t="shared" si="7"/>
        <v>1.1002938498922341</v>
      </c>
      <c r="AT32" s="9">
        <f t="shared" si="8"/>
        <v>1.0965571291480414</v>
      </c>
      <c r="AU32" s="9">
        <f t="shared" si="1"/>
        <v>1.0999107939339876</v>
      </c>
    </row>
    <row r="33" spans="1:47" ht="15.75">
      <c r="A33" s="5">
        <f t="shared" si="17"/>
        <v>29</v>
      </c>
      <c r="B33" s="9">
        <v>2020</v>
      </c>
      <c r="C33" s="9" t="s">
        <v>4</v>
      </c>
      <c r="D33" s="9" t="s">
        <v>5</v>
      </c>
      <c r="E33" s="7" t="s">
        <v>6</v>
      </c>
      <c r="F33" s="5" t="s">
        <v>68</v>
      </c>
      <c r="G33" s="7" t="s">
        <v>8</v>
      </c>
      <c r="H33" s="7" t="s">
        <v>9</v>
      </c>
      <c r="I33" s="9" t="s">
        <v>47</v>
      </c>
      <c r="J33" s="9">
        <v>0.8</v>
      </c>
      <c r="K33" s="5">
        <v>2913</v>
      </c>
      <c r="L33" s="5">
        <v>6165</v>
      </c>
      <c r="M33" s="5">
        <f t="shared" si="10"/>
        <v>4928.7632239382237</v>
      </c>
      <c r="N33" s="5">
        <f t="shared" si="11"/>
        <v>9312.0401111567116</v>
      </c>
      <c r="O33">
        <f t="shared" si="12"/>
        <v>8450.9295913143214</v>
      </c>
      <c r="P33">
        <f t="shared" si="13"/>
        <v>3220.0000000000009</v>
      </c>
      <c r="Q33">
        <f t="shared" si="14"/>
        <v>531.67722007722</v>
      </c>
      <c r="R33">
        <f t="shared" si="15"/>
        <v>518.72601351351352</v>
      </c>
      <c r="S33">
        <f t="shared" si="16"/>
        <v>6128.0000000000082</v>
      </c>
      <c r="T33" s="5">
        <v>321294</v>
      </c>
      <c r="U33" s="5">
        <v>47021</v>
      </c>
      <c r="V33" s="5">
        <v>71932</v>
      </c>
      <c r="W33" s="9">
        <f t="shared" si="2"/>
        <v>440247</v>
      </c>
      <c r="Y33" s="2">
        <f t="shared" si="9"/>
        <v>39255.136159999995</v>
      </c>
      <c r="Z33">
        <v>254.72601351351349</v>
      </c>
      <c r="AA33">
        <v>264</v>
      </c>
      <c r="AB33">
        <v>1509.0500000000009</v>
      </c>
      <c r="AC33">
        <v>1710.95</v>
      </c>
      <c r="AD33">
        <v>236.55907335907335</v>
      </c>
      <c r="AE33">
        <v>295.1181467181467</v>
      </c>
      <c r="AF33">
        <v>2223.5877413127414</v>
      </c>
      <c r="AG33">
        <v>2705.1754826254828</v>
      </c>
      <c r="AH33">
        <v>4223.8231227397246</v>
      </c>
      <c r="AI33">
        <v>5088.216988416988</v>
      </c>
      <c r="AJ33">
        <v>2768.148956290408</v>
      </c>
      <c r="AK33">
        <v>3359.8510437096002</v>
      </c>
      <c r="AL33">
        <v>3613.9281434378731</v>
      </c>
      <c r="AM33">
        <v>4837.0014478764479</v>
      </c>
      <c r="AO33" s="9">
        <f t="shared" si="3"/>
        <v>1.0178783909904008</v>
      </c>
      <c r="AP33" s="9">
        <f t="shared" si="4"/>
        <v>1.062701863354037</v>
      </c>
      <c r="AQ33" s="9">
        <f t="shared" si="5"/>
        <v>1.110140271480069</v>
      </c>
      <c r="AR33" s="9">
        <f t="shared" si="6"/>
        <v>1.0977096523877929</v>
      </c>
      <c r="AS33" s="9">
        <f t="shared" si="7"/>
        <v>1.0928254018839156</v>
      </c>
      <c r="AT33" s="9">
        <f t="shared" si="8"/>
        <v>1.0965571291480403</v>
      </c>
      <c r="AU33" s="9">
        <f t="shared" si="1"/>
        <v>1.1447264814152069</v>
      </c>
    </row>
    <row r="34" spans="1:47" ht="15.75">
      <c r="A34" s="5">
        <f t="shared" si="17"/>
        <v>30</v>
      </c>
      <c r="B34" s="9">
        <v>2020</v>
      </c>
      <c r="C34" s="9" t="s">
        <v>4</v>
      </c>
      <c r="D34" s="9" t="s">
        <v>5</v>
      </c>
      <c r="E34" s="7" t="s">
        <v>6</v>
      </c>
      <c r="F34" s="5" t="s">
        <v>69</v>
      </c>
      <c r="G34" s="7" t="s">
        <v>8</v>
      </c>
      <c r="H34" s="7" t="s">
        <v>9</v>
      </c>
      <c r="I34" s="9" t="s">
        <v>47</v>
      </c>
      <c r="J34" s="9">
        <v>0.8</v>
      </c>
      <c r="K34" s="5">
        <v>2928</v>
      </c>
      <c r="L34" s="5">
        <v>6165</v>
      </c>
      <c r="M34" s="5">
        <f t="shared" si="10"/>
        <v>5089.2924710424713</v>
      </c>
      <c r="N34" s="5">
        <f t="shared" si="11"/>
        <v>9575.878407104241</v>
      </c>
      <c r="O34">
        <f t="shared" si="12"/>
        <v>8833.0024131274131</v>
      </c>
      <c r="P34">
        <f t="shared" si="13"/>
        <v>2324.278957528958</v>
      </c>
      <c r="Q34">
        <f t="shared" si="14"/>
        <v>551.19691119691106</v>
      </c>
      <c r="R34">
        <f t="shared" si="15"/>
        <v>528</v>
      </c>
      <c r="S34">
        <f t="shared" si="16"/>
        <v>6128.0000000000027</v>
      </c>
      <c r="T34" s="5">
        <v>327802</v>
      </c>
      <c r="U34" s="5">
        <v>47021</v>
      </c>
      <c r="V34" s="5">
        <v>71932</v>
      </c>
      <c r="W34" s="9">
        <f t="shared" si="2"/>
        <v>446755</v>
      </c>
      <c r="Y34" s="2">
        <f t="shared" si="9"/>
        <v>39194.649159999986</v>
      </c>
      <c r="Z34">
        <v>264</v>
      </c>
      <c r="AA34">
        <v>264</v>
      </c>
      <c r="AB34">
        <v>926.63561776061783</v>
      </c>
      <c r="AC34">
        <v>1397.64333976834</v>
      </c>
      <c r="AD34">
        <v>249.57220077220074</v>
      </c>
      <c r="AE34">
        <v>301.62471042471037</v>
      </c>
      <c r="AF34">
        <v>2330.6072393822396</v>
      </c>
      <c r="AG34">
        <v>2758.6852316602317</v>
      </c>
      <c r="AH34">
        <v>4389.5382526640869</v>
      </c>
      <c r="AI34">
        <v>5186.340154440154</v>
      </c>
      <c r="AJ34">
        <v>2768.1489562904039</v>
      </c>
      <c r="AK34">
        <v>3359.8510437095988</v>
      </c>
      <c r="AL34">
        <v>3855.8342181467183</v>
      </c>
      <c r="AM34">
        <v>4977.1681949806953</v>
      </c>
      <c r="AO34" s="9">
        <f t="shared" si="3"/>
        <v>1</v>
      </c>
      <c r="AP34" s="9">
        <f t="shared" si="4"/>
        <v>1.2026468124585488</v>
      </c>
      <c r="AQ34" s="9">
        <f t="shared" si="5"/>
        <v>1.0944354160829364</v>
      </c>
      <c r="AR34" s="9">
        <f t="shared" si="6"/>
        <v>1.0841134587398367</v>
      </c>
      <c r="AS34" s="9">
        <f t="shared" si="7"/>
        <v>1.0832092752122802</v>
      </c>
      <c r="AT34" s="9">
        <f t="shared" si="8"/>
        <v>1.0965571291480409</v>
      </c>
      <c r="AU34" s="9">
        <f t="shared" si="1"/>
        <v>1.1269482248943434</v>
      </c>
    </row>
    <row r="35" spans="1:47" ht="15.75">
      <c r="A35" s="5">
        <f t="shared" si="17"/>
        <v>31</v>
      </c>
      <c r="B35" s="9">
        <v>2020</v>
      </c>
      <c r="C35" s="9" t="s">
        <v>4</v>
      </c>
      <c r="D35" s="9" t="s">
        <v>5</v>
      </c>
      <c r="E35" s="7" t="s">
        <v>6</v>
      </c>
      <c r="F35" s="5" t="s">
        <v>70</v>
      </c>
      <c r="G35" s="7" t="s">
        <v>8</v>
      </c>
      <c r="H35" s="7" t="s">
        <v>9</v>
      </c>
      <c r="I35" s="9" t="s">
        <v>47</v>
      </c>
      <c r="J35" s="9">
        <v>0.8</v>
      </c>
      <c r="K35" s="5">
        <v>2893</v>
      </c>
      <c r="L35" s="5">
        <v>6165</v>
      </c>
      <c r="M35" s="5">
        <f t="shared" si="10"/>
        <v>5062.2115152123506</v>
      </c>
      <c r="N35" s="5">
        <f t="shared" si="11"/>
        <v>9489.5718146718136</v>
      </c>
      <c r="O35">
        <f t="shared" si="12"/>
        <v>8833.0024131274131</v>
      </c>
      <c r="P35">
        <f t="shared" si="13"/>
        <v>2324.278957528958</v>
      </c>
      <c r="Q35">
        <f t="shared" si="14"/>
        <v>672</v>
      </c>
      <c r="R35">
        <f t="shared" si="15"/>
        <v>520.58445945945937</v>
      </c>
      <c r="S35">
        <f t="shared" si="16"/>
        <v>6128.0000000000018</v>
      </c>
      <c r="T35" s="5">
        <v>327491</v>
      </c>
      <c r="U35" s="5">
        <v>47021</v>
      </c>
      <c r="V35" s="5">
        <v>71932</v>
      </c>
      <c r="W35" s="9">
        <f t="shared" si="2"/>
        <v>446444</v>
      </c>
      <c r="Y35" s="2">
        <f t="shared" si="9"/>
        <v>39194.649159999994</v>
      </c>
      <c r="Z35">
        <v>256.58445945945942</v>
      </c>
      <c r="AA35">
        <v>264</v>
      </c>
      <c r="AB35">
        <v>926.63561776061783</v>
      </c>
      <c r="AC35">
        <v>1397.64333976834</v>
      </c>
      <c r="AD35">
        <v>335.7</v>
      </c>
      <c r="AE35">
        <v>336.3</v>
      </c>
      <c r="AF35">
        <v>2303.5262835521189</v>
      </c>
      <c r="AG35">
        <v>2758.6852316602317</v>
      </c>
      <c r="AH35">
        <v>4303.2316602316596</v>
      </c>
      <c r="AI35">
        <v>5186.340154440154</v>
      </c>
      <c r="AJ35">
        <v>2768.1489562904067</v>
      </c>
      <c r="AK35">
        <v>3359.8510437095952</v>
      </c>
      <c r="AL35">
        <v>3855.8342181467183</v>
      </c>
      <c r="AM35">
        <v>4977.1681949806953</v>
      </c>
      <c r="AO35" s="9">
        <f t="shared" si="3"/>
        <v>1.0142446444679514</v>
      </c>
      <c r="AP35" s="9">
        <f t="shared" si="4"/>
        <v>1.2026468124585488</v>
      </c>
      <c r="AQ35" s="9">
        <f t="shared" si="5"/>
        <v>1.0008928571428573</v>
      </c>
      <c r="AR35" s="9">
        <f t="shared" si="6"/>
        <v>1.089913064031466</v>
      </c>
      <c r="AS35" s="9">
        <f t="shared" si="7"/>
        <v>1.0930609422063831</v>
      </c>
      <c r="AT35" s="9">
        <f t="shared" si="8"/>
        <v>1.0965571291480398</v>
      </c>
      <c r="AU35" s="9">
        <f t="shared" si="1"/>
        <v>1.1269482248943434</v>
      </c>
    </row>
    <row r="36" spans="1:47" ht="15.75">
      <c r="A36" s="5">
        <f t="shared" si="17"/>
        <v>32</v>
      </c>
      <c r="B36" s="9">
        <v>2020</v>
      </c>
      <c r="C36" s="9" t="s">
        <v>4</v>
      </c>
      <c r="D36" s="9" t="s">
        <v>39</v>
      </c>
      <c r="E36" s="7" t="s">
        <v>6</v>
      </c>
      <c r="F36" s="5" t="s">
        <v>48</v>
      </c>
      <c r="G36" s="7" t="s">
        <v>8</v>
      </c>
      <c r="H36" s="7" t="s">
        <v>9</v>
      </c>
      <c r="I36" s="9" t="s">
        <v>47</v>
      </c>
      <c r="J36" s="9">
        <v>0.8</v>
      </c>
      <c r="K36" s="5">
        <v>2493</v>
      </c>
      <c r="L36" s="5">
        <v>14299</v>
      </c>
      <c r="M36" s="5">
        <f t="shared" si="10"/>
        <v>6123.9999999999991</v>
      </c>
      <c r="N36" s="5">
        <f t="shared" si="11"/>
        <v>8026.0247734138966</v>
      </c>
      <c r="O36">
        <f t="shared" si="12"/>
        <v>6602.1914652567975</v>
      </c>
      <c r="P36">
        <f t="shared" si="13"/>
        <v>1387.2439577039277</v>
      </c>
      <c r="Q36">
        <f t="shared" si="14"/>
        <v>447.64229607250752</v>
      </c>
      <c r="R36">
        <f t="shared" si="15"/>
        <v>502.17545317220538</v>
      </c>
      <c r="S36">
        <f t="shared" si="16"/>
        <v>5546.6958543806668</v>
      </c>
      <c r="T36" s="5">
        <v>333161</v>
      </c>
      <c r="U36" s="5">
        <v>89448</v>
      </c>
      <c r="V36" s="5">
        <v>35475</v>
      </c>
      <c r="W36" s="9">
        <f t="shared" si="2"/>
        <v>458084</v>
      </c>
      <c r="Y36" s="2">
        <f t="shared" si="9"/>
        <v>42934.9738</v>
      </c>
      <c r="Z36">
        <v>245.27095921450149</v>
      </c>
      <c r="AA36">
        <v>256.90449395770389</v>
      </c>
      <c r="AB36">
        <v>509.34554380664656</v>
      </c>
      <c r="AC36">
        <v>877.89841389728099</v>
      </c>
      <c r="AD36">
        <v>203.4561933534743</v>
      </c>
      <c r="AE36">
        <v>244.18610271903322</v>
      </c>
      <c r="AF36">
        <v>2755.7999999999988</v>
      </c>
      <c r="AG36">
        <v>3368.2000000000003</v>
      </c>
      <c r="AH36">
        <v>3705.895770392749</v>
      </c>
      <c r="AI36">
        <v>4320.1290030211476</v>
      </c>
      <c r="AJ36">
        <v>2768.1489562904089</v>
      </c>
      <c r="AK36">
        <v>2778.5468980902579</v>
      </c>
      <c r="AL36">
        <v>2862.3865181268884</v>
      </c>
      <c r="AM36">
        <v>3739.8049471299091</v>
      </c>
      <c r="AO36" s="9">
        <f t="shared" si="3"/>
        <v>1.0231662751926927</v>
      </c>
      <c r="AP36" s="9">
        <f t="shared" si="4"/>
        <v>1.2656727160669261</v>
      </c>
      <c r="AQ36" s="9">
        <f t="shared" si="5"/>
        <v>1.0909876249919013</v>
      </c>
      <c r="AR36" s="9">
        <f t="shared" si="6"/>
        <v>1.1000000000000003</v>
      </c>
      <c r="AS36" s="9">
        <f t="shared" si="7"/>
        <v>1.076530193958912</v>
      </c>
      <c r="AT36" s="9">
        <f t="shared" si="8"/>
        <v>1.0018746190656256</v>
      </c>
      <c r="AU36" s="9">
        <f t="shared" si="1"/>
        <v>1.1328980587158559</v>
      </c>
    </row>
    <row r="37" spans="1:47" ht="15.75">
      <c r="A37" s="5">
        <f t="shared" si="17"/>
        <v>33</v>
      </c>
      <c r="B37" s="9">
        <v>2020</v>
      </c>
      <c r="C37" s="9" t="s">
        <v>4</v>
      </c>
      <c r="D37" s="9" t="s">
        <v>39</v>
      </c>
      <c r="E37" s="7" t="s">
        <v>6</v>
      </c>
      <c r="F37" s="5" t="s">
        <v>59</v>
      </c>
      <c r="G37" s="7" t="s">
        <v>8</v>
      </c>
      <c r="H37" s="7" t="s">
        <v>9</v>
      </c>
      <c r="I37" s="9" t="s">
        <v>47</v>
      </c>
      <c r="J37" s="9">
        <v>0.8</v>
      </c>
      <c r="K37" s="5">
        <v>2343</v>
      </c>
      <c r="L37" s="5">
        <v>14299</v>
      </c>
      <c r="M37" s="5">
        <f t="shared" si="10"/>
        <v>3902.7016616314195</v>
      </c>
      <c r="N37" s="5">
        <f t="shared" si="11"/>
        <v>11503.999999999985</v>
      </c>
      <c r="O37">
        <f t="shared" si="12"/>
        <v>5776.8288330385367</v>
      </c>
      <c r="P37">
        <f t="shared" si="13"/>
        <v>1018.6910876132931</v>
      </c>
      <c r="Q37">
        <f t="shared" si="14"/>
        <v>406.91238670694861</v>
      </c>
      <c r="R37">
        <f t="shared" si="15"/>
        <v>490.54191842900298</v>
      </c>
      <c r="S37">
        <f t="shared" si="16"/>
        <v>5536.2979125808133</v>
      </c>
      <c r="T37" s="5">
        <v>318911</v>
      </c>
      <c r="U37" s="5">
        <v>89448</v>
      </c>
      <c r="V37" s="5">
        <v>35475</v>
      </c>
      <c r="W37" s="9">
        <f t="shared" si="2"/>
        <v>443834</v>
      </c>
      <c r="Y37" s="2">
        <f t="shared" si="9"/>
        <v>42934.9738</v>
      </c>
      <c r="Z37">
        <v>239.45419184290029</v>
      </c>
      <c r="AA37">
        <v>251.08772658610269</v>
      </c>
      <c r="AB37">
        <v>325.06910876132929</v>
      </c>
      <c r="AC37">
        <v>693.62197885196383</v>
      </c>
      <c r="AD37">
        <v>183.09123867069485</v>
      </c>
      <c r="AE37">
        <v>223.82114803625376</v>
      </c>
      <c r="AF37">
        <v>1783.8701661631419</v>
      </c>
      <c r="AG37">
        <v>2118.8314954682778</v>
      </c>
      <c r="AH37">
        <v>5176.7999999999847</v>
      </c>
      <c r="AI37">
        <v>6327.2000000000007</v>
      </c>
      <c r="AJ37">
        <v>2768.148956290408</v>
      </c>
      <c r="AK37">
        <v>2768.1489562904053</v>
      </c>
      <c r="AL37">
        <v>2423.6773036253776</v>
      </c>
      <c r="AM37">
        <v>3353.1515294131591</v>
      </c>
      <c r="AO37" s="9">
        <f t="shared" si="3"/>
        <v>1.0237156791420796</v>
      </c>
      <c r="AP37" s="9">
        <f t="shared" si="4"/>
        <v>1.3617906100995962</v>
      </c>
      <c r="AQ37" s="9">
        <f t="shared" si="5"/>
        <v>1.100095034449988</v>
      </c>
      <c r="AR37" s="9">
        <f t="shared" si="6"/>
        <v>1.0858280643376452</v>
      </c>
      <c r="AS37" s="9">
        <f t="shared" si="7"/>
        <v>1.1000000000000014</v>
      </c>
      <c r="AT37" s="9">
        <f t="shared" si="8"/>
        <v>0.99999999999999956</v>
      </c>
      <c r="AU37" s="9">
        <f t="shared" si="1"/>
        <v>1.160896964866257</v>
      </c>
    </row>
    <row r="38" spans="1:47" ht="15.75">
      <c r="A38" s="5">
        <f t="shared" si="17"/>
        <v>34</v>
      </c>
      <c r="B38" s="9">
        <v>2020</v>
      </c>
      <c r="C38" s="9" t="s">
        <v>4</v>
      </c>
      <c r="D38" s="9" t="s">
        <v>39</v>
      </c>
      <c r="E38" s="7" t="s">
        <v>6</v>
      </c>
      <c r="F38" s="5" t="s">
        <v>60</v>
      </c>
      <c r="G38" s="7" t="s">
        <v>8</v>
      </c>
      <c r="H38" s="7" t="s">
        <v>9</v>
      </c>
      <c r="I38" s="9" t="s">
        <v>47</v>
      </c>
      <c r="J38" s="9">
        <v>0.8</v>
      </c>
      <c r="K38" s="5">
        <v>2873</v>
      </c>
      <c r="L38" s="5">
        <v>14299</v>
      </c>
      <c r="M38" s="5">
        <f t="shared" si="10"/>
        <v>3609.6104984894259</v>
      </c>
      <c r="N38" s="5">
        <f t="shared" si="11"/>
        <v>6874.3374622356496</v>
      </c>
      <c r="O38">
        <f t="shared" si="12"/>
        <v>11067.884308869336</v>
      </c>
      <c r="P38">
        <f t="shared" si="13"/>
        <v>696.20732628398787</v>
      </c>
      <c r="Q38">
        <f t="shared" si="14"/>
        <v>371.27371601208461</v>
      </c>
      <c r="R38">
        <f t="shared" si="15"/>
        <v>480.36257552870086</v>
      </c>
      <c r="S38">
        <f t="shared" si="16"/>
        <v>5536.2979125808142</v>
      </c>
      <c r="T38" s="5">
        <v>321101</v>
      </c>
      <c r="U38" s="5">
        <v>89447</v>
      </c>
      <c r="V38" s="5">
        <v>35475</v>
      </c>
      <c r="W38" s="9">
        <f t="shared" si="2"/>
        <v>446023</v>
      </c>
      <c r="Y38" s="2">
        <f t="shared" si="9"/>
        <v>42934.973799999992</v>
      </c>
      <c r="Z38">
        <v>238</v>
      </c>
      <c r="AA38">
        <v>242.36257552870089</v>
      </c>
      <c r="AB38">
        <v>279</v>
      </c>
      <c r="AC38">
        <v>417.20732628398792</v>
      </c>
      <c r="AD38">
        <v>178</v>
      </c>
      <c r="AE38">
        <v>193.27371601208458</v>
      </c>
      <c r="AF38">
        <v>1742</v>
      </c>
      <c r="AG38">
        <v>1867.6104984894259</v>
      </c>
      <c r="AH38">
        <v>3322</v>
      </c>
      <c r="AI38">
        <v>3552.3374622356496</v>
      </c>
      <c r="AJ38">
        <v>2768.1489562904067</v>
      </c>
      <c r="AK38">
        <v>2768.1489562904076</v>
      </c>
      <c r="AL38">
        <v>4902.8843088693366</v>
      </c>
      <c r="AM38">
        <v>6165</v>
      </c>
      <c r="AO38" s="9">
        <f t="shared" si="3"/>
        <v>1.0090818389086604</v>
      </c>
      <c r="AP38" s="9">
        <f t="shared" si="4"/>
        <v>1.1985146106141553</v>
      </c>
      <c r="AQ38" s="9">
        <f t="shared" si="5"/>
        <v>1.0411386945893779</v>
      </c>
      <c r="AR38" s="9">
        <f t="shared" si="6"/>
        <v>1.0347989065695571</v>
      </c>
      <c r="AS38" s="9">
        <f t="shared" si="7"/>
        <v>1.0335068598975559</v>
      </c>
      <c r="AT38" s="9">
        <f t="shared" si="8"/>
        <v>1.0000000000000002</v>
      </c>
      <c r="AU38" s="9">
        <f t="shared" si="1"/>
        <v>1.1140340516677842</v>
      </c>
    </row>
    <row r="39" spans="1:47" ht="15.75">
      <c r="A39" s="5">
        <f t="shared" si="17"/>
        <v>35</v>
      </c>
      <c r="B39" s="9">
        <v>2020</v>
      </c>
      <c r="C39" s="9" t="s">
        <v>4</v>
      </c>
      <c r="D39" s="9" t="s">
        <v>39</v>
      </c>
      <c r="E39" s="7" t="s">
        <v>6</v>
      </c>
      <c r="F39" s="5" t="s">
        <v>68</v>
      </c>
      <c r="G39" s="7" t="s">
        <v>8</v>
      </c>
      <c r="H39" s="7" t="s">
        <v>9</v>
      </c>
      <c r="I39" s="9" t="s">
        <v>47</v>
      </c>
      <c r="J39" s="9">
        <v>0.8</v>
      </c>
      <c r="K39" s="5">
        <v>2688</v>
      </c>
      <c r="L39" s="5">
        <v>14299</v>
      </c>
      <c r="M39" s="5">
        <f t="shared" si="10"/>
        <v>4237.6629909365556</v>
      </c>
      <c r="N39" s="5">
        <f t="shared" si="11"/>
        <v>8026.0247734138966</v>
      </c>
      <c r="O39">
        <f t="shared" si="12"/>
        <v>6602.1914652567975</v>
      </c>
      <c r="P39">
        <f t="shared" si="13"/>
        <v>3219.9999999999973</v>
      </c>
      <c r="Q39">
        <f t="shared" si="14"/>
        <v>447.64229607250752</v>
      </c>
      <c r="R39">
        <f t="shared" si="15"/>
        <v>502.17545317220538</v>
      </c>
      <c r="S39">
        <f t="shared" si="16"/>
        <v>5590.3068066980468</v>
      </c>
      <c r="T39" s="5">
        <v>340895</v>
      </c>
      <c r="U39" s="5">
        <v>89448</v>
      </c>
      <c r="V39" s="5">
        <v>35475</v>
      </c>
      <c r="W39" s="9">
        <f t="shared" si="2"/>
        <v>465818</v>
      </c>
      <c r="Y39" s="2">
        <f t="shared" si="9"/>
        <v>42925.003785550012</v>
      </c>
      <c r="Z39">
        <v>245.27095921450149</v>
      </c>
      <c r="AA39">
        <v>256.90449395770389</v>
      </c>
      <c r="AB39">
        <v>1509.049999999997</v>
      </c>
      <c r="AC39">
        <v>1710.95</v>
      </c>
      <c r="AD39">
        <v>203.4561933534743</v>
      </c>
      <c r="AE39">
        <v>244.18610271903322</v>
      </c>
      <c r="AF39">
        <v>1951.35083081571</v>
      </c>
      <c r="AG39">
        <v>2286.3121601208459</v>
      </c>
      <c r="AH39">
        <v>3705.895770392749</v>
      </c>
      <c r="AI39">
        <v>4320.1290030211476</v>
      </c>
      <c r="AJ39">
        <v>2768.1489562904085</v>
      </c>
      <c r="AK39">
        <v>2822.1578504076379</v>
      </c>
      <c r="AL39">
        <v>2862.3865181268884</v>
      </c>
      <c r="AM39">
        <v>3739.8049471299091</v>
      </c>
      <c r="AO39" s="9">
        <f t="shared" si="3"/>
        <v>1.0231662751926927</v>
      </c>
      <c r="AP39" s="9">
        <f t="shared" si="4"/>
        <v>1.0627018633540382</v>
      </c>
      <c r="AQ39" s="9">
        <f t="shared" si="5"/>
        <v>1.0909876249919013</v>
      </c>
      <c r="AR39" s="9">
        <f t="shared" si="6"/>
        <v>1.0790438810310179</v>
      </c>
      <c r="AS39" s="9">
        <f t="shared" si="7"/>
        <v>1.076530193958912</v>
      </c>
      <c r="AT39" s="9">
        <f t="shared" si="8"/>
        <v>1.0096611681585199</v>
      </c>
      <c r="AU39" s="9">
        <f t="shared" si="1"/>
        <v>1.1328980587158559</v>
      </c>
    </row>
    <row r="40" spans="1:47" ht="15.75">
      <c r="A40" s="5">
        <f t="shared" si="17"/>
        <v>36</v>
      </c>
      <c r="B40" s="9">
        <v>2020</v>
      </c>
      <c r="C40" s="9" t="s">
        <v>4</v>
      </c>
      <c r="D40" s="9" t="s">
        <v>39</v>
      </c>
      <c r="E40" s="7" t="s">
        <v>6</v>
      </c>
      <c r="F40" s="5" t="s">
        <v>69</v>
      </c>
      <c r="G40" s="7" t="s">
        <v>8</v>
      </c>
      <c r="H40" s="7" t="s">
        <v>9</v>
      </c>
      <c r="I40" s="9" t="s">
        <v>47</v>
      </c>
      <c r="J40" s="9">
        <v>0.8</v>
      </c>
      <c r="K40" s="5">
        <v>2266</v>
      </c>
      <c r="L40" s="5">
        <v>14299</v>
      </c>
      <c r="M40" s="5">
        <f t="shared" si="10"/>
        <v>4405.1436555891241</v>
      </c>
      <c r="N40" s="5">
        <f t="shared" si="11"/>
        <v>8333.1413897280963</v>
      </c>
      <c r="O40">
        <f t="shared" si="12"/>
        <v>7095.6050024169199</v>
      </c>
      <c r="P40">
        <f t="shared" si="13"/>
        <v>1617.5895015105741</v>
      </c>
      <c r="Q40">
        <f t="shared" si="14"/>
        <v>468.00725075528698</v>
      </c>
      <c r="R40">
        <f t="shared" si="15"/>
        <v>528</v>
      </c>
      <c r="S40">
        <f t="shared" si="16"/>
        <v>6128</v>
      </c>
      <c r="T40" s="5">
        <v>339329</v>
      </c>
      <c r="U40" s="5">
        <v>89448</v>
      </c>
      <c r="V40" s="5">
        <v>35475</v>
      </c>
      <c r="W40" s="9">
        <f t="shared" si="2"/>
        <v>464252</v>
      </c>
      <c r="Y40" s="2">
        <f t="shared" si="9"/>
        <v>42874.486799999999</v>
      </c>
      <c r="Z40">
        <v>264</v>
      </c>
      <c r="AA40">
        <v>264</v>
      </c>
      <c r="AB40">
        <v>601.48376132930514</v>
      </c>
      <c r="AC40">
        <v>1016.105740181269</v>
      </c>
      <c r="AD40">
        <v>213.63867069486403</v>
      </c>
      <c r="AE40">
        <v>254.36858006042294</v>
      </c>
      <c r="AF40">
        <v>2035.091163141994</v>
      </c>
      <c r="AG40">
        <v>2370.0524924471301</v>
      </c>
      <c r="AH40">
        <v>3859.4540785498489</v>
      </c>
      <c r="AI40">
        <v>4473.687311178247</v>
      </c>
      <c r="AJ40">
        <v>2768.1489562904071</v>
      </c>
      <c r="AK40">
        <v>3359.8510437095929</v>
      </c>
      <c r="AL40">
        <v>3081.7411253776436</v>
      </c>
      <c r="AM40">
        <v>4013.8638770392768</v>
      </c>
      <c r="AO40" s="9">
        <f t="shared" si="3"/>
        <v>1</v>
      </c>
      <c r="AP40" s="9">
        <f t="shared" si="4"/>
        <v>1.2563208888687594</v>
      </c>
      <c r="AQ40" s="9">
        <f t="shared" si="5"/>
        <v>1.0870283725301852</v>
      </c>
      <c r="AR40" s="9">
        <f t="shared" si="6"/>
        <v>1.0760386846590455</v>
      </c>
      <c r="AS40" s="9">
        <f t="shared" si="7"/>
        <v>1.0737096856877451</v>
      </c>
      <c r="AT40" s="9">
        <f t="shared" si="8"/>
        <v>1.0965571291480394</v>
      </c>
      <c r="AU40" s="9">
        <f t="shared" si="1"/>
        <v>1.1313662120910242</v>
      </c>
    </row>
    <row r="41" spans="1:47" ht="15.75">
      <c r="A41" s="5">
        <f t="shared" si="17"/>
        <v>37</v>
      </c>
      <c r="B41" s="9">
        <v>2020</v>
      </c>
      <c r="C41" s="9" t="s">
        <v>4</v>
      </c>
      <c r="D41" s="9" t="s">
        <v>39</v>
      </c>
      <c r="E41" s="7" t="s">
        <v>6</v>
      </c>
      <c r="F41" s="5" t="s">
        <v>70</v>
      </c>
      <c r="G41" s="7" t="s">
        <v>8</v>
      </c>
      <c r="H41" s="7" t="s">
        <v>9</v>
      </c>
      <c r="I41" s="9" t="s">
        <v>47</v>
      </c>
      <c r="J41" s="9">
        <v>0.8</v>
      </c>
      <c r="K41" s="5">
        <v>2290</v>
      </c>
      <c r="L41" s="5">
        <v>14299</v>
      </c>
      <c r="M41" s="5">
        <f t="shared" si="10"/>
        <v>4400.1654631419915</v>
      </c>
      <c r="N41" s="5">
        <f t="shared" si="11"/>
        <v>8256.3622356495453</v>
      </c>
      <c r="O41">
        <f t="shared" si="12"/>
        <v>7040.9006797583079</v>
      </c>
      <c r="P41">
        <f t="shared" si="13"/>
        <v>1571.5203927492448</v>
      </c>
      <c r="Q41">
        <f t="shared" si="14"/>
        <v>672.00000000000068</v>
      </c>
      <c r="R41">
        <f t="shared" si="15"/>
        <v>506.53802870090635</v>
      </c>
      <c r="S41">
        <f t="shared" si="16"/>
        <v>6128.0000000000018</v>
      </c>
      <c r="T41" s="5">
        <v>339005</v>
      </c>
      <c r="U41" s="5">
        <v>89447</v>
      </c>
      <c r="V41" s="5">
        <v>35475</v>
      </c>
      <c r="W41" s="9">
        <f t="shared" si="2"/>
        <v>463927</v>
      </c>
      <c r="Y41" s="2">
        <f t="shared" si="9"/>
        <v>42874.486799999991</v>
      </c>
      <c r="Z41">
        <v>246.7251510574018</v>
      </c>
      <c r="AA41">
        <v>259.81287764350452</v>
      </c>
      <c r="AB41">
        <v>601.48376132930514</v>
      </c>
      <c r="AC41">
        <v>970.03663141993968</v>
      </c>
      <c r="AD41">
        <v>335.70000000000067</v>
      </c>
      <c r="AE41">
        <v>336.3</v>
      </c>
      <c r="AF41">
        <v>2030.1129706948616</v>
      </c>
      <c r="AG41">
        <v>2370.0524924471301</v>
      </c>
      <c r="AH41">
        <v>3782.6749244712987</v>
      </c>
      <c r="AI41">
        <v>4473.687311178247</v>
      </c>
      <c r="AJ41">
        <v>2768.1489562904085</v>
      </c>
      <c r="AK41">
        <v>3359.8510437095933</v>
      </c>
      <c r="AL41">
        <v>3081.7411253776436</v>
      </c>
      <c r="AM41">
        <v>3959.1595543806648</v>
      </c>
      <c r="AO41" s="9">
        <f t="shared" si="3"/>
        <v>1.0258375992413997</v>
      </c>
      <c r="AP41" s="9">
        <f t="shared" si="4"/>
        <v>1.2345199411926699</v>
      </c>
      <c r="AQ41" s="9">
        <f t="shared" si="5"/>
        <v>1.0008928571428561</v>
      </c>
      <c r="AR41" s="9">
        <f t="shared" si="6"/>
        <v>1.0772560769815984</v>
      </c>
      <c r="AS41" s="9">
        <f t="shared" si="7"/>
        <v>1.0836945336195736</v>
      </c>
      <c r="AT41" s="9">
        <f t="shared" si="8"/>
        <v>1.0965571291480394</v>
      </c>
      <c r="AU41" s="9">
        <f t="shared" si="1"/>
        <v>1.1246173563455437</v>
      </c>
    </row>
    <row r="45" spans="1:47">
      <c r="C45" t="s">
        <v>71</v>
      </c>
    </row>
    <row r="47" spans="1:47">
      <c r="C47" t="s">
        <v>5</v>
      </c>
    </row>
    <row r="48" spans="1:47">
      <c r="K48" t="s">
        <v>2</v>
      </c>
      <c r="L48" t="s">
        <v>3</v>
      </c>
      <c r="M48" t="s">
        <v>12</v>
      </c>
      <c r="N48" t="s">
        <v>13</v>
      </c>
      <c r="O48" t="s">
        <v>14</v>
      </c>
      <c r="P48" t="s">
        <v>15</v>
      </c>
      <c r="Q48" t="s">
        <v>16</v>
      </c>
      <c r="R48" t="s">
        <v>17</v>
      </c>
      <c r="S48" t="s">
        <v>18</v>
      </c>
      <c r="T48" t="s">
        <v>20</v>
      </c>
      <c r="U48" t="s">
        <v>21</v>
      </c>
      <c r="V48" t="s">
        <v>22</v>
      </c>
      <c r="W48" t="s">
        <v>46</v>
      </c>
      <c r="Z48" t="s">
        <v>49</v>
      </c>
      <c r="AA48" t="s">
        <v>50</v>
      </c>
      <c r="AB48" t="s">
        <v>51</v>
      </c>
      <c r="AC48" t="s">
        <v>52</v>
      </c>
      <c r="AD48" t="s">
        <v>53</v>
      </c>
      <c r="AE48" t="s">
        <v>54</v>
      </c>
      <c r="AF48" t="s">
        <v>55</v>
      </c>
      <c r="AG48" t="s">
        <v>56</v>
      </c>
      <c r="AH48" t="s">
        <v>57</v>
      </c>
      <c r="AI48" t="s">
        <v>58</v>
      </c>
      <c r="AJ48" t="s">
        <v>62</v>
      </c>
      <c r="AK48" t="s">
        <v>63</v>
      </c>
      <c r="AL48" t="s">
        <v>66</v>
      </c>
      <c r="AM48" t="s">
        <v>67</v>
      </c>
      <c r="AO48" t="s">
        <v>17</v>
      </c>
      <c r="AP48" t="s">
        <v>15</v>
      </c>
      <c r="AQ48" t="s">
        <v>16</v>
      </c>
      <c r="AR48" t="s">
        <v>12</v>
      </c>
      <c r="AS48" t="s">
        <v>13</v>
      </c>
      <c r="AT48" t="s">
        <v>18</v>
      </c>
      <c r="AU48" t="s">
        <v>14</v>
      </c>
    </row>
    <row r="49" spans="1:52" ht="15.75">
      <c r="A49" s="5"/>
      <c r="B49" s="9">
        <v>2020</v>
      </c>
      <c r="C49" s="9" t="s">
        <v>4</v>
      </c>
      <c r="D49" s="9" t="s">
        <v>5</v>
      </c>
      <c r="E49" s="7" t="s">
        <v>6</v>
      </c>
      <c r="F49" s="7" t="s">
        <v>7</v>
      </c>
      <c r="G49" s="7" t="s">
        <v>8</v>
      </c>
      <c r="H49" s="7" t="s">
        <v>9</v>
      </c>
      <c r="I49" s="9" t="s">
        <v>45</v>
      </c>
      <c r="J49" s="9">
        <v>0.8</v>
      </c>
      <c r="K49" s="5">
        <v>3642</v>
      </c>
      <c r="L49" s="5">
        <v>6165</v>
      </c>
      <c r="M49" s="5">
        <f t="shared" ref="M49:M62" si="18">SUM(AF49:AG49)</f>
        <v>5089.2924710424713</v>
      </c>
      <c r="N49" s="5">
        <f t="shared" ref="N49:N62" si="19">SUM(AH49:AI49)</f>
        <v>9579.5770557528922</v>
      </c>
      <c r="O49">
        <f t="shared" ref="O49:O62" si="20">SUM(AL49:AM49)</f>
        <v>8833.0024131274149</v>
      </c>
      <c r="P49">
        <f t="shared" ref="P49:P62" si="21">SUM(AB49:AC49)</f>
        <v>2324.278957528958</v>
      </c>
      <c r="Q49">
        <f t="shared" ref="Q49:Q62" si="22">SUM(AD49:AE49)</f>
        <v>551.19691119691106</v>
      </c>
      <c r="R49">
        <f t="shared" ref="R49:R62" si="23">SUM(Z49:AA49)</f>
        <v>524.30135135135129</v>
      </c>
      <c r="S49">
        <f t="shared" ref="S49:S62" si="24">SUM(AJ49:AK49)</f>
        <v>6128</v>
      </c>
      <c r="T49" s="5">
        <v>328503</v>
      </c>
      <c r="U49" s="5">
        <v>47021</v>
      </c>
      <c r="V49" s="5">
        <v>71932</v>
      </c>
      <c r="W49" s="9">
        <f t="shared" ref="W49:W62" si="25">SUM(T49:V49)</f>
        <v>447456</v>
      </c>
      <c r="Y49" s="2">
        <f t="shared" ref="Y49:Y62" si="26">L49+M49+N49+O49+P49+Q49+R49+S49</f>
        <v>39194.649160000001</v>
      </c>
      <c r="Z49">
        <v>260.30135135135134</v>
      </c>
      <c r="AA49">
        <v>264</v>
      </c>
      <c r="AB49">
        <v>1044.3875482625483</v>
      </c>
      <c r="AC49">
        <v>1279.8914092664095</v>
      </c>
      <c r="AD49">
        <v>262.58532818532814</v>
      </c>
      <c r="AE49">
        <v>288.61158301158298</v>
      </c>
      <c r="AF49">
        <v>2437.6267374517374</v>
      </c>
      <c r="AG49">
        <v>2651.6657335907339</v>
      </c>
      <c r="AH49">
        <v>4589.4832333590703</v>
      </c>
      <c r="AI49">
        <v>4990.0938223938219</v>
      </c>
      <c r="AJ49">
        <v>2768.1489562904085</v>
      </c>
      <c r="AK49">
        <v>3359.8510437095911</v>
      </c>
      <c r="AL49">
        <v>4136.1677123552126</v>
      </c>
      <c r="AM49">
        <v>4696.8347007722014</v>
      </c>
      <c r="AO49" s="9">
        <f t="shared" ref="AO49:AO62" si="27">2*AA49/SUM(Z49:AA49)</f>
        <v>1.0070544327973134</v>
      </c>
      <c r="AP49" s="9">
        <f t="shared" ref="AP49:AP62" si="28">2*AC49/SUM(AB49:AC49)</f>
        <v>1.1013234062292743</v>
      </c>
      <c r="AQ49" s="9">
        <f t="shared" ref="AQ49:AQ62" si="29">2*AE49/SUM(AD49:AE49)</f>
        <v>1.0472177080414684</v>
      </c>
      <c r="AR49" s="9">
        <f t="shared" ref="AR49:AR62" si="30">2*AG49/SUM(AF49:AG49)</f>
        <v>1.0420567293699183</v>
      </c>
      <c r="AS49" s="9">
        <f t="shared" ref="AS49:AS62" si="31">2*AI49/SUM(AH49:AI49)</f>
        <v>1.0418192355156399</v>
      </c>
      <c r="AT49" s="9">
        <f t="shared" ref="AT49:AT62" si="32">2*AK49/SUM(AJ49:AK49)</f>
        <v>1.0965571291480389</v>
      </c>
      <c r="AU49" s="9">
        <f t="shared" ref="AU49:AU62" si="33">2*AM49/SUM(AL49:AM49)</f>
        <v>1.0634741124471716</v>
      </c>
      <c r="AW49" s="17">
        <f>K49/(AA49+AC49+AE49+AG49+AI49+AK49+AM49+K49)</f>
        <v>0.17201194418672719</v>
      </c>
      <c r="AX49" t="str">
        <f>D49</f>
        <v>Green</v>
      </c>
      <c r="AZ49" t="str">
        <f t="shared" ref="AZ49" si="34">F49</f>
        <v>Ref</v>
      </c>
    </row>
    <row r="50" spans="1:52" ht="15.75">
      <c r="A50" s="5"/>
      <c r="B50" s="9">
        <v>2020</v>
      </c>
      <c r="C50" s="9" t="s">
        <v>4</v>
      </c>
      <c r="D50" s="9" t="s">
        <v>5</v>
      </c>
      <c r="E50" s="7" t="s">
        <v>6</v>
      </c>
      <c r="F50" s="5" t="s">
        <v>48</v>
      </c>
      <c r="G50" s="7" t="s">
        <v>8</v>
      </c>
      <c r="H50" s="7" t="s">
        <v>9</v>
      </c>
      <c r="I50" s="9" t="s">
        <v>45</v>
      </c>
      <c r="J50" s="9">
        <v>0.8</v>
      </c>
      <c r="K50" s="5">
        <v>3360</v>
      </c>
      <c r="L50" s="5">
        <v>6165</v>
      </c>
      <c r="M50" s="5">
        <f t="shared" si="18"/>
        <v>6123.9999999999964</v>
      </c>
      <c r="N50" s="5">
        <f t="shared" si="19"/>
        <v>9216.0073167145929</v>
      </c>
      <c r="O50">
        <f t="shared" si="20"/>
        <v>8366.3772197332746</v>
      </c>
      <c r="P50">
        <f t="shared" si="21"/>
        <v>2147.6510617760619</v>
      </c>
      <c r="Q50">
        <f t="shared" si="22"/>
        <v>525.17065637065639</v>
      </c>
      <c r="R50">
        <f t="shared" si="23"/>
        <v>522.44290540540533</v>
      </c>
      <c r="S50">
        <f t="shared" si="24"/>
        <v>6128.0000000000109</v>
      </c>
      <c r="T50" s="5">
        <v>314065</v>
      </c>
      <c r="U50" s="5">
        <v>47021</v>
      </c>
      <c r="V50" s="5">
        <v>71932</v>
      </c>
      <c r="W50" s="9">
        <f t="shared" si="25"/>
        <v>433018</v>
      </c>
      <c r="Y50" s="2">
        <f t="shared" si="26"/>
        <v>39194.649160000001</v>
      </c>
      <c r="Z50">
        <v>258.44290540540538</v>
      </c>
      <c r="AA50">
        <v>264</v>
      </c>
      <c r="AB50">
        <v>926.63561776061783</v>
      </c>
      <c r="AC50">
        <v>1221.015444015444</v>
      </c>
      <c r="AD50">
        <v>249.57220077220074</v>
      </c>
      <c r="AE50">
        <v>275.59845559845559</v>
      </c>
      <c r="AF50">
        <v>2755.7999999999961</v>
      </c>
      <c r="AG50">
        <v>3368.2000000000003</v>
      </c>
      <c r="AH50">
        <v>4401.3548262548256</v>
      </c>
      <c r="AI50">
        <v>4814.6524904597682</v>
      </c>
      <c r="AJ50">
        <v>2768.1489562904071</v>
      </c>
      <c r="AK50">
        <v>3359.8510437096033</v>
      </c>
      <c r="AL50">
        <v>3855.8342181467183</v>
      </c>
      <c r="AM50">
        <v>4510.5430015865559</v>
      </c>
      <c r="AO50" s="9">
        <f t="shared" si="27"/>
        <v>1.0106367500392841</v>
      </c>
      <c r="AP50" s="9">
        <f t="shared" si="28"/>
        <v>1.1370706030854847</v>
      </c>
      <c r="AQ50" s="9">
        <f t="shared" si="29"/>
        <v>1.0495577094998352</v>
      </c>
      <c r="AR50" s="9">
        <f t="shared" si="30"/>
        <v>1.1000000000000008</v>
      </c>
      <c r="AS50" s="9">
        <f t="shared" si="31"/>
        <v>1.0448456310853147</v>
      </c>
      <c r="AT50" s="9">
        <f t="shared" si="32"/>
        <v>1.0965571291480409</v>
      </c>
      <c r="AU50" s="9">
        <f t="shared" si="33"/>
        <v>1.0782547530722872</v>
      </c>
      <c r="AW50" s="17">
        <f t="shared" ref="AW50:AW62" si="35">K50/(AA50+AC50+AE50+AG50+AI50+AK50+AM50+K50)</f>
        <v>0.15868622588950743</v>
      </c>
      <c r="AX50" t="str">
        <f t="shared" ref="AX50:AX62" si="36">D50</f>
        <v>Green</v>
      </c>
      <c r="AZ50" t="str">
        <f t="shared" ref="AZ50:AZ62" si="37">F50</f>
        <v>Cheap NO ramp</v>
      </c>
    </row>
    <row r="51" spans="1:52" ht="15.75">
      <c r="A51" s="5"/>
      <c r="B51" s="9">
        <v>2020</v>
      </c>
      <c r="C51" s="9" t="s">
        <v>4</v>
      </c>
      <c r="D51" s="9" t="s">
        <v>5</v>
      </c>
      <c r="E51" s="7" t="s">
        <v>6</v>
      </c>
      <c r="F51" s="5" t="s">
        <v>59</v>
      </c>
      <c r="G51" s="7" t="s">
        <v>8</v>
      </c>
      <c r="H51" s="7" t="s">
        <v>9</v>
      </c>
      <c r="I51" s="9" t="s">
        <v>45</v>
      </c>
      <c r="J51" s="9">
        <v>0.8</v>
      </c>
      <c r="K51" s="5">
        <v>3128</v>
      </c>
      <c r="L51" s="5">
        <v>6165</v>
      </c>
      <c r="M51" s="5">
        <f t="shared" si="18"/>
        <v>4714.7242277992282</v>
      </c>
      <c r="N51" s="5">
        <f t="shared" si="19"/>
        <v>11503.999999999985</v>
      </c>
      <c r="O51">
        <f t="shared" si="20"/>
        <v>7851.835183397684</v>
      </c>
      <c r="P51">
        <f t="shared" si="21"/>
        <v>1869.0918646332148</v>
      </c>
      <c r="Q51">
        <f t="shared" si="22"/>
        <v>505.59907335907337</v>
      </c>
      <c r="R51">
        <f t="shared" si="23"/>
        <v>516.88581081081077</v>
      </c>
      <c r="S51">
        <f t="shared" si="24"/>
        <v>6128.0000000000055</v>
      </c>
      <c r="T51" s="5">
        <v>301614</v>
      </c>
      <c r="U51" s="5">
        <v>47021</v>
      </c>
      <c r="V51" s="5">
        <v>71932</v>
      </c>
      <c r="W51" s="9">
        <f t="shared" si="25"/>
        <v>420567</v>
      </c>
      <c r="Y51" s="2">
        <f t="shared" si="26"/>
        <v>39255.136160000002</v>
      </c>
      <c r="Z51">
        <v>254.72601351351349</v>
      </c>
      <c r="AA51">
        <v>262.15979729729725</v>
      </c>
      <c r="AB51">
        <v>808.88368725868736</v>
      </c>
      <c r="AC51">
        <v>1060.2081773745274</v>
      </c>
      <c r="AD51">
        <v>236.55907335907335</v>
      </c>
      <c r="AE51">
        <v>269.04000000000002</v>
      </c>
      <c r="AF51">
        <v>2223.5877413127414</v>
      </c>
      <c r="AG51">
        <v>2491.1364864864868</v>
      </c>
      <c r="AH51">
        <v>5176.7999999999847</v>
      </c>
      <c r="AI51">
        <v>6327.2000000000007</v>
      </c>
      <c r="AJ51">
        <v>2768.1489562904048</v>
      </c>
      <c r="AK51">
        <v>3359.8510437096006</v>
      </c>
      <c r="AL51">
        <v>3575.5007239382239</v>
      </c>
      <c r="AM51">
        <v>4276.33445945946</v>
      </c>
      <c r="AO51" s="9">
        <f t="shared" si="27"/>
        <v>1.0143818685448587</v>
      </c>
      <c r="AP51" s="9">
        <f t="shared" si="28"/>
        <v>1.1344634230512578</v>
      </c>
      <c r="AQ51" s="9">
        <f t="shared" si="29"/>
        <v>1.064242456824795</v>
      </c>
      <c r="AR51" s="9">
        <f t="shared" si="30"/>
        <v>1.0567474855891272</v>
      </c>
      <c r="AS51" s="9">
        <f t="shared" si="31"/>
        <v>1.1000000000000014</v>
      </c>
      <c r="AT51" s="9">
        <f t="shared" si="32"/>
        <v>1.0965571291480409</v>
      </c>
      <c r="AU51" s="9">
        <f t="shared" si="33"/>
        <v>1.0892573161753465</v>
      </c>
      <c r="AW51" s="17">
        <f t="shared" si="35"/>
        <v>0.1477288347165536</v>
      </c>
      <c r="AX51" t="str">
        <f t="shared" si="36"/>
        <v>Green</v>
      </c>
      <c r="AZ51" t="str">
        <f t="shared" si="37"/>
        <v>Cheap RU ramp</v>
      </c>
    </row>
    <row r="52" spans="1:52" ht="15.75">
      <c r="A52" s="5"/>
      <c r="B52" s="9">
        <v>2020</v>
      </c>
      <c r="C52" s="9" t="s">
        <v>4</v>
      </c>
      <c r="D52" s="9" t="s">
        <v>5</v>
      </c>
      <c r="E52" s="7" t="s">
        <v>6</v>
      </c>
      <c r="F52" s="5" t="s">
        <v>60</v>
      </c>
      <c r="G52" s="7" t="s">
        <v>8</v>
      </c>
      <c r="H52" s="7" t="s">
        <v>9</v>
      </c>
      <c r="I52" s="9" t="s">
        <v>45</v>
      </c>
      <c r="J52" s="9">
        <v>0.8</v>
      </c>
      <c r="K52" s="5">
        <v>3263</v>
      </c>
      <c r="L52" s="5">
        <v>6165</v>
      </c>
      <c r="M52" s="5">
        <f t="shared" si="18"/>
        <v>4500.6852316602317</v>
      </c>
      <c r="N52" s="5">
        <f t="shared" si="19"/>
        <v>8583.8724051737081</v>
      </c>
      <c r="O52">
        <f t="shared" si="20"/>
        <v>11210.000000000022</v>
      </c>
      <c r="P52">
        <f t="shared" si="21"/>
        <v>1676.64333976834</v>
      </c>
      <c r="Q52">
        <f t="shared" si="22"/>
        <v>479.62471042471043</v>
      </c>
      <c r="R52">
        <f t="shared" si="23"/>
        <v>511.31047297297295</v>
      </c>
      <c r="S52">
        <f t="shared" si="24"/>
        <v>6128.0000000000127</v>
      </c>
      <c r="T52" s="5">
        <v>302329</v>
      </c>
      <c r="U52" s="5">
        <v>47021</v>
      </c>
      <c r="V52" s="5">
        <v>71932</v>
      </c>
      <c r="W52" s="9">
        <f t="shared" si="25"/>
        <v>421282</v>
      </c>
      <c r="Y52" s="2">
        <f t="shared" si="26"/>
        <v>39255.136160000002</v>
      </c>
      <c r="Z52">
        <v>251.0091216216216</v>
      </c>
      <c r="AA52">
        <v>260.30135135135134</v>
      </c>
      <c r="AB52">
        <v>691.13175675675677</v>
      </c>
      <c r="AC52">
        <v>985.51158301158307</v>
      </c>
      <c r="AD52">
        <v>223.54594594594593</v>
      </c>
      <c r="AE52">
        <v>256.07876447876447</v>
      </c>
      <c r="AF52">
        <v>2116.5682432432432</v>
      </c>
      <c r="AG52">
        <v>2384.1169884169885</v>
      </c>
      <c r="AH52">
        <v>4084.3944128957164</v>
      </c>
      <c r="AI52">
        <v>4499.4779922779917</v>
      </c>
      <c r="AJ52">
        <v>2768.1489562904057</v>
      </c>
      <c r="AK52">
        <v>3359.8510437096074</v>
      </c>
      <c r="AL52">
        <v>5045.0000000000227</v>
      </c>
      <c r="AM52">
        <v>6165</v>
      </c>
      <c r="AO52" s="9">
        <f t="shared" si="27"/>
        <v>1.0181733608461037</v>
      </c>
      <c r="AP52" s="9">
        <f t="shared" si="28"/>
        <v>1.1755768918006737</v>
      </c>
      <c r="AQ52" s="9">
        <f t="shared" si="29"/>
        <v>1.0678297381801085</v>
      </c>
      <c r="AR52" s="9">
        <f t="shared" si="30"/>
        <v>1.0594462246085694</v>
      </c>
      <c r="AS52" s="9">
        <f t="shared" si="31"/>
        <v>1.0483562149796279</v>
      </c>
      <c r="AT52" s="9">
        <f t="shared" si="32"/>
        <v>1.0965571291480418</v>
      </c>
      <c r="AU52" s="9">
        <f t="shared" si="33"/>
        <v>1.0999107939339854</v>
      </c>
      <c r="AW52" s="17">
        <f t="shared" si="35"/>
        <v>0.15410891011375782</v>
      </c>
      <c r="AX52" t="str">
        <f t="shared" si="36"/>
        <v>Green</v>
      </c>
      <c r="AZ52" t="str">
        <f t="shared" si="37"/>
        <v>Cheap LNG ramp</v>
      </c>
    </row>
    <row r="53" spans="1:52" ht="15.75">
      <c r="A53" s="5"/>
      <c r="B53" s="9">
        <v>2020</v>
      </c>
      <c r="C53" s="9" t="s">
        <v>4</v>
      </c>
      <c r="D53" s="9" t="s">
        <v>5</v>
      </c>
      <c r="E53" s="7" t="s">
        <v>6</v>
      </c>
      <c r="F53" s="5" t="s">
        <v>68</v>
      </c>
      <c r="G53" s="7" t="s">
        <v>8</v>
      </c>
      <c r="H53" s="7" t="s">
        <v>9</v>
      </c>
      <c r="I53" s="9" t="s">
        <v>45</v>
      </c>
      <c r="J53" s="9">
        <v>0.8</v>
      </c>
      <c r="K53" s="5">
        <v>3517</v>
      </c>
      <c r="L53" s="5">
        <v>6165</v>
      </c>
      <c r="M53" s="5">
        <f t="shared" si="18"/>
        <v>4928.7632239382237</v>
      </c>
      <c r="N53" s="5">
        <f t="shared" si="19"/>
        <v>9293.3254826254815</v>
      </c>
      <c r="O53">
        <f t="shared" si="20"/>
        <v>8411.94689166022</v>
      </c>
      <c r="P53">
        <f t="shared" si="21"/>
        <v>3219.9999999999982</v>
      </c>
      <c r="Q53">
        <f t="shared" si="22"/>
        <v>525.17065637065639</v>
      </c>
      <c r="R53">
        <f t="shared" si="23"/>
        <v>522.44290540540533</v>
      </c>
      <c r="S53">
        <f t="shared" si="24"/>
        <v>6128.0000000000146</v>
      </c>
      <c r="T53" s="5">
        <v>320769</v>
      </c>
      <c r="U53" s="5">
        <v>47021</v>
      </c>
      <c r="V53" s="5">
        <v>71932</v>
      </c>
      <c r="W53" s="9">
        <f t="shared" si="25"/>
        <v>439722</v>
      </c>
      <c r="Y53" s="2">
        <f t="shared" si="26"/>
        <v>39194.649160000001</v>
      </c>
      <c r="Z53">
        <v>258.44290540540538</v>
      </c>
      <c r="AA53">
        <v>264</v>
      </c>
      <c r="AB53">
        <v>1509.0499999999981</v>
      </c>
      <c r="AC53">
        <v>1710.95</v>
      </c>
      <c r="AD53">
        <v>249.57220077220074</v>
      </c>
      <c r="AE53">
        <v>275.59845559845559</v>
      </c>
      <c r="AF53">
        <v>2330.6072393822396</v>
      </c>
      <c r="AG53">
        <v>2598.1559845559846</v>
      </c>
      <c r="AH53">
        <v>4401.3548262548256</v>
      </c>
      <c r="AI53">
        <v>4891.9706563706559</v>
      </c>
      <c r="AJ53">
        <v>2768.1489562904085</v>
      </c>
      <c r="AK53">
        <v>3359.8510437096056</v>
      </c>
      <c r="AL53">
        <v>3855.8342181467183</v>
      </c>
      <c r="AM53">
        <v>4556.1126735135012</v>
      </c>
      <c r="AO53" s="9">
        <f t="shared" si="27"/>
        <v>1.0106367500392841</v>
      </c>
      <c r="AP53" s="9">
        <f t="shared" si="28"/>
        <v>1.0627018633540379</v>
      </c>
      <c r="AQ53" s="9">
        <f t="shared" si="29"/>
        <v>1.0495577094998352</v>
      </c>
      <c r="AR53" s="9">
        <f t="shared" si="30"/>
        <v>1.0542831402154405</v>
      </c>
      <c r="AS53" s="9">
        <f t="shared" si="31"/>
        <v>1.0527922788277533</v>
      </c>
      <c r="AT53" s="9">
        <f t="shared" si="32"/>
        <v>1.0965571291480409</v>
      </c>
      <c r="AU53" s="9">
        <f t="shared" si="33"/>
        <v>1.083248083277969</v>
      </c>
      <c r="AW53" s="17">
        <f t="shared" si="35"/>
        <v>0.16610276726343257</v>
      </c>
      <c r="AX53" t="str">
        <f t="shared" si="36"/>
        <v>Green</v>
      </c>
      <c r="AZ53" t="str">
        <f t="shared" si="37"/>
        <v>Cheap DZ ramp</v>
      </c>
    </row>
    <row r="54" spans="1:52" ht="15.75">
      <c r="A54" s="5"/>
      <c r="B54" s="9">
        <v>2020</v>
      </c>
      <c r="C54" s="9" t="s">
        <v>4</v>
      </c>
      <c r="D54" s="9" t="s">
        <v>5</v>
      </c>
      <c r="E54" s="7" t="s">
        <v>6</v>
      </c>
      <c r="F54" s="5" t="s">
        <v>69</v>
      </c>
      <c r="G54" s="7" t="s">
        <v>8</v>
      </c>
      <c r="H54" s="7" t="s">
        <v>9</v>
      </c>
      <c r="I54" s="9" t="s">
        <v>45</v>
      </c>
      <c r="J54" s="9">
        <v>0.8</v>
      </c>
      <c r="K54" s="5">
        <v>3642</v>
      </c>
      <c r="L54" s="5">
        <v>6165</v>
      </c>
      <c r="M54" s="5">
        <f t="shared" si="18"/>
        <v>5089.2924710424713</v>
      </c>
      <c r="N54" s="5">
        <f t="shared" si="19"/>
        <v>9575.8784071042355</v>
      </c>
      <c r="O54">
        <f t="shared" si="20"/>
        <v>8833.0024131274149</v>
      </c>
      <c r="P54">
        <f t="shared" si="21"/>
        <v>2324.278957528958</v>
      </c>
      <c r="Q54">
        <f t="shared" si="22"/>
        <v>551.19691119691106</v>
      </c>
      <c r="R54">
        <f t="shared" si="23"/>
        <v>528</v>
      </c>
      <c r="S54">
        <f t="shared" si="24"/>
        <v>6128.0000000000073</v>
      </c>
      <c r="T54" s="5">
        <v>327263</v>
      </c>
      <c r="U54" s="5">
        <v>47021</v>
      </c>
      <c r="V54" s="5">
        <v>71932</v>
      </c>
      <c r="W54" s="9">
        <f t="shared" si="25"/>
        <v>446216</v>
      </c>
      <c r="Y54" s="2">
        <f t="shared" si="26"/>
        <v>39194.649159999994</v>
      </c>
      <c r="Z54">
        <v>264</v>
      </c>
      <c r="AA54">
        <v>264</v>
      </c>
      <c r="AB54">
        <v>1044.3875482625483</v>
      </c>
      <c r="AC54">
        <v>1279.8914092664095</v>
      </c>
      <c r="AD54">
        <v>262.58532818532814</v>
      </c>
      <c r="AE54">
        <v>288.61158301158298</v>
      </c>
      <c r="AF54">
        <v>2437.6267374517374</v>
      </c>
      <c r="AG54">
        <v>2651.6657335907339</v>
      </c>
      <c r="AH54">
        <v>4585.7845847104145</v>
      </c>
      <c r="AI54">
        <v>4990.0938223938219</v>
      </c>
      <c r="AJ54">
        <v>2768.1489562904067</v>
      </c>
      <c r="AK54">
        <v>3359.8510437096011</v>
      </c>
      <c r="AL54">
        <v>4136.1677123552126</v>
      </c>
      <c r="AM54">
        <v>4696.8347007722014</v>
      </c>
      <c r="AO54" s="9">
        <f t="shared" si="27"/>
        <v>1</v>
      </c>
      <c r="AP54" s="9">
        <f t="shared" si="28"/>
        <v>1.1013234062292743</v>
      </c>
      <c r="AQ54" s="9">
        <f t="shared" si="29"/>
        <v>1.0472177080414684</v>
      </c>
      <c r="AR54" s="9">
        <f t="shared" si="30"/>
        <v>1.0420567293699183</v>
      </c>
      <c r="AS54" s="9">
        <f t="shared" si="31"/>
        <v>1.0422216344542821</v>
      </c>
      <c r="AT54" s="9">
        <f t="shared" si="32"/>
        <v>1.0965571291480409</v>
      </c>
      <c r="AU54" s="9">
        <f t="shared" si="33"/>
        <v>1.0634741124471716</v>
      </c>
      <c r="AW54" s="17">
        <f t="shared" si="35"/>
        <v>0.17201194418672711</v>
      </c>
      <c r="AX54" t="str">
        <f t="shared" si="36"/>
        <v>Green</v>
      </c>
      <c r="AZ54" t="str">
        <f t="shared" si="37"/>
        <v>Cheap AZ ramp</v>
      </c>
    </row>
    <row r="55" spans="1:52" ht="15.75">
      <c r="A55" s="5"/>
      <c r="B55" s="9">
        <v>2020</v>
      </c>
      <c r="C55" s="9" t="s">
        <v>4</v>
      </c>
      <c r="D55" s="9" t="s">
        <v>5</v>
      </c>
      <c r="E55" s="7" t="s">
        <v>6</v>
      </c>
      <c r="F55" s="5" t="s">
        <v>70</v>
      </c>
      <c r="G55" s="7" t="s">
        <v>8</v>
      </c>
      <c r="H55" s="7" t="s">
        <v>9</v>
      </c>
      <c r="I55" s="9" t="s">
        <v>45</v>
      </c>
      <c r="J55" s="9">
        <v>0.8</v>
      </c>
      <c r="K55" s="5">
        <v>3595</v>
      </c>
      <c r="L55" s="5">
        <v>6165</v>
      </c>
      <c r="M55" s="5">
        <f t="shared" si="18"/>
        <v>5089.2924710424713</v>
      </c>
      <c r="N55" s="5">
        <f t="shared" si="19"/>
        <v>9489.5718146718136</v>
      </c>
      <c r="O55">
        <f t="shared" si="20"/>
        <v>8802.2045654053982</v>
      </c>
      <c r="P55">
        <f t="shared" si="21"/>
        <v>2324.278957528958</v>
      </c>
      <c r="Q55">
        <f t="shared" si="22"/>
        <v>672</v>
      </c>
      <c r="R55">
        <f t="shared" si="23"/>
        <v>524.30135135135129</v>
      </c>
      <c r="S55">
        <f t="shared" si="24"/>
        <v>6128.0000000000055</v>
      </c>
      <c r="T55" s="5">
        <v>326933</v>
      </c>
      <c r="U55" s="5">
        <v>47021</v>
      </c>
      <c r="V55" s="5">
        <v>71932</v>
      </c>
      <c r="W55" s="9">
        <f t="shared" si="25"/>
        <v>445886</v>
      </c>
      <c r="Y55" s="2">
        <f t="shared" si="26"/>
        <v>39194.649160000001</v>
      </c>
      <c r="Z55">
        <v>260.30135135135134</v>
      </c>
      <c r="AA55">
        <v>264</v>
      </c>
      <c r="AB55">
        <v>1044.3875482625483</v>
      </c>
      <c r="AC55">
        <v>1279.8914092664095</v>
      </c>
      <c r="AD55">
        <v>335.7</v>
      </c>
      <c r="AE55">
        <v>336.3</v>
      </c>
      <c r="AF55">
        <v>2437.6267374517374</v>
      </c>
      <c r="AG55">
        <v>2651.6657335907339</v>
      </c>
      <c r="AH55">
        <v>4499.4779922779917</v>
      </c>
      <c r="AI55">
        <v>4990.0938223938219</v>
      </c>
      <c r="AJ55">
        <v>2768.1489562904057</v>
      </c>
      <c r="AK55">
        <v>3359.8510437095997</v>
      </c>
      <c r="AL55">
        <v>4105.3698646331968</v>
      </c>
      <c r="AM55">
        <v>4696.8347007722014</v>
      </c>
      <c r="AO55" s="9">
        <f t="shared" si="27"/>
        <v>1.0070544327973134</v>
      </c>
      <c r="AP55" s="9">
        <f t="shared" si="28"/>
        <v>1.1013234062292743</v>
      </c>
      <c r="AQ55" s="9">
        <f t="shared" si="29"/>
        <v>1.0008928571428573</v>
      </c>
      <c r="AR55" s="9">
        <f t="shared" si="30"/>
        <v>1.0420567293699183</v>
      </c>
      <c r="AS55" s="9">
        <f t="shared" si="31"/>
        <v>1.0517005234479906</v>
      </c>
      <c r="AT55" s="9">
        <f t="shared" si="32"/>
        <v>1.0965571291480407</v>
      </c>
      <c r="AU55" s="9">
        <f t="shared" si="33"/>
        <v>1.0671950795671792</v>
      </c>
      <c r="AW55" s="17">
        <f t="shared" si="35"/>
        <v>0.16978661007948184</v>
      </c>
      <c r="AX55" t="str">
        <f t="shared" si="36"/>
        <v>Green</v>
      </c>
      <c r="AZ55" t="str">
        <f t="shared" si="37"/>
        <v>Cheap LY ramp</v>
      </c>
    </row>
    <row r="56" spans="1:52" ht="15.75">
      <c r="A56" s="5"/>
      <c r="B56" s="9">
        <v>2020</v>
      </c>
      <c r="C56" s="9" t="s">
        <v>4</v>
      </c>
      <c r="D56" s="9" t="s">
        <v>5</v>
      </c>
      <c r="E56" s="7" t="s">
        <v>6</v>
      </c>
      <c r="F56" s="7" t="s">
        <v>7</v>
      </c>
      <c r="G56" s="7" t="s">
        <v>8</v>
      </c>
      <c r="H56" s="7" t="s">
        <v>9</v>
      </c>
      <c r="I56" s="9" t="s">
        <v>47</v>
      </c>
      <c r="J56" s="9">
        <v>0.8</v>
      </c>
      <c r="K56" s="5">
        <v>2928</v>
      </c>
      <c r="L56" s="5">
        <v>6165</v>
      </c>
      <c r="M56" s="5">
        <f t="shared" si="18"/>
        <v>5089.2924710424713</v>
      </c>
      <c r="N56" s="5">
        <f t="shared" si="19"/>
        <v>9583.2939476447827</v>
      </c>
      <c r="O56">
        <f t="shared" si="20"/>
        <v>8833.0024131274131</v>
      </c>
      <c r="P56">
        <f t="shared" si="21"/>
        <v>2324.278957528958</v>
      </c>
      <c r="Q56">
        <f t="shared" si="22"/>
        <v>551.19691119691106</v>
      </c>
      <c r="R56">
        <f t="shared" si="23"/>
        <v>520.58445945945937</v>
      </c>
      <c r="S56">
        <f t="shared" si="24"/>
        <v>6128.0000000000027</v>
      </c>
      <c r="T56" s="5">
        <v>329040</v>
      </c>
      <c r="U56" s="5">
        <v>47021</v>
      </c>
      <c r="V56" s="5">
        <v>71932</v>
      </c>
      <c r="W56" s="9">
        <f t="shared" si="25"/>
        <v>447993</v>
      </c>
      <c r="Y56" s="2">
        <f t="shared" si="26"/>
        <v>39194.649159999994</v>
      </c>
      <c r="Z56">
        <v>256.58445945945942</v>
      </c>
      <c r="AA56">
        <v>264</v>
      </c>
      <c r="AB56">
        <v>926.63561776061783</v>
      </c>
      <c r="AC56">
        <v>1397.64333976834</v>
      </c>
      <c r="AD56">
        <v>249.57220077220074</v>
      </c>
      <c r="AE56">
        <v>301.62471042471037</v>
      </c>
      <c r="AF56">
        <v>2330.6072393822396</v>
      </c>
      <c r="AG56">
        <v>2758.6852316602317</v>
      </c>
      <c r="AH56">
        <v>4396.9537932046287</v>
      </c>
      <c r="AI56">
        <v>5186.340154440154</v>
      </c>
      <c r="AJ56">
        <v>2768.1489562904062</v>
      </c>
      <c r="AK56">
        <v>3359.8510437095965</v>
      </c>
      <c r="AL56">
        <v>3855.8342181467183</v>
      </c>
      <c r="AM56">
        <v>4977.1681949806953</v>
      </c>
      <c r="AO56" s="9">
        <f t="shared" si="27"/>
        <v>1.0142446444679514</v>
      </c>
      <c r="AP56" s="9">
        <f t="shared" si="28"/>
        <v>1.2026468124585488</v>
      </c>
      <c r="AQ56" s="9">
        <f t="shared" si="29"/>
        <v>1.0944354160829364</v>
      </c>
      <c r="AR56" s="9">
        <f t="shared" si="30"/>
        <v>1.0841134587398367</v>
      </c>
      <c r="AS56" s="9">
        <f t="shared" si="31"/>
        <v>1.0823710892672271</v>
      </c>
      <c r="AT56" s="9">
        <f t="shared" si="32"/>
        <v>1.09655712914804</v>
      </c>
      <c r="AU56" s="9">
        <f t="shared" si="33"/>
        <v>1.1269482248943434</v>
      </c>
      <c r="AW56" s="17">
        <f t="shared" si="35"/>
        <v>0.13828728857621947</v>
      </c>
      <c r="AX56" t="str">
        <f t="shared" si="36"/>
        <v>Green</v>
      </c>
      <c r="AZ56" t="str">
        <f t="shared" si="37"/>
        <v>Ref</v>
      </c>
    </row>
    <row r="57" spans="1:52" ht="15.75">
      <c r="A57" s="5"/>
      <c r="B57" s="9">
        <v>2020</v>
      </c>
      <c r="C57" s="9" t="s">
        <v>4</v>
      </c>
      <c r="D57" s="9" t="s">
        <v>5</v>
      </c>
      <c r="E57" s="7" t="s">
        <v>6</v>
      </c>
      <c r="F57" s="5" t="s">
        <v>48</v>
      </c>
      <c r="G57" s="7" t="s">
        <v>8</v>
      </c>
      <c r="H57" s="7" t="s">
        <v>9</v>
      </c>
      <c r="I57" s="9" t="s">
        <v>47</v>
      </c>
      <c r="J57" s="9">
        <v>0.8</v>
      </c>
      <c r="K57" s="5">
        <v>2688</v>
      </c>
      <c r="L57" s="5">
        <v>6165</v>
      </c>
      <c r="M57" s="5">
        <f t="shared" si="18"/>
        <v>6123.9999999999991</v>
      </c>
      <c r="N57" s="5">
        <f t="shared" si="19"/>
        <v>9293.3254826254815</v>
      </c>
      <c r="O57">
        <f t="shared" si="20"/>
        <v>8412.1389109652464</v>
      </c>
      <c r="P57">
        <f t="shared" si="21"/>
        <v>2088.7750965250971</v>
      </c>
      <c r="Q57">
        <f t="shared" si="22"/>
        <v>525.17065637065639</v>
      </c>
      <c r="R57">
        <f t="shared" si="23"/>
        <v>518.72601351351352</v>
      </c>
      <c r="S57">
        <f t="shared" si="24"/>
        <v>6128.0000000000073</v>
      </c>
      <c r="T57" s="5">
        <v>314625</v>
      </c>
      <c r="U57" s="5">
        <v>47021</v>
      </c>
      <c r="V57" s="5">
        <v>71932</v>
      </c>
      <c r="W57" s="9">
        <f t="shared" si="25"/>
        <v>433578</v>
      </c>
      <c r="Y57" s="2">
        <f t="shared" si="26"/>
        <v>39255.136160000002</v>
      </c>
      <c r="Z57">
        <v>254.72601351351349</v>
      </c>
      <c r="AA57">
        <v>264</v>
      </c>
      <c r="AB57">
        <v>808.88368725868736</v>
      </c>
      <c r="AC57">
        <v>1279.8914092664095</v>
      </c>
      <c r="AD57">
        <v>236.55907335907335</v>
      </c>
      <c r="AE57">
        <v>288.61158301158298</v>
      </c>
      <c r="AF57">
        <v>2755.7999999999988</v>
      </c>
      <c r="AG57">
        <v>3368.2000000000003</v>
      </c>
      <c r="AH57">
        <v>4205.1084942084935</v>
      </c>
      <c r="AI57">
        <v>5088.216988416988</v>
      </c>
      <c r="AJ57">
        <v>2768.1489562904053</v>
      </c>
      <c r="AK57">
        <v>3359.851043709602</v>
      </c>
      <c r="AL57">
        <v>3575.5007239382239</v>
      </c>
      <c r="AM57">
        <v>4836.6381870270225</v>
      </c>
      <c r="AO57" s="9">
        <f t="shared" si="27"/>
        <v>1.0178783909904008</v>
      </c>
      <c r="AP57" s="9">
        <f t="shared" si="28"/>
        <v>1.2254947039493596</v>
      </c>
      <c r="AQ57" s="9">
        <f t="shared" si="29"/>
        <v>1.0991154189996706</v>
      </c>
      <c r="AR57" s="9">
        <f t="shared" si="30"/>
        <v>1.1000000000000003</v>
      </c>
      <c r="AS57" s="9">
        <f t="shared" si="31"/>
        <v>1.0950261018899561</v>
      </c>
      <c r="AT57" s="9">
        <f t="shared" si="32"/>
        <v>1.0965571291480412</v>
      </c>
      <c r="AU57" s="9">
        <f t="shared" si="33"/>
        <v>1.1499187634009351</v>
      </c>
      <c r="AW57" s="17">
        <f t="shared" si="35"/>
        <v>0.12695168610583216</v>
      </c>
      <c r="AX57" t="str">
        <f t="shared" si="36"/>
        <v>Green</v>
      </c>
      <c r="AZ57" t="str">
        <f t="shared" si="37"/>
        <v>Cheap NO ramp</v>
      </c>
    </row>
    <row r="58" spans="1:52" ht="15.75">
      <c r="A58" s="5"/>
      <c r="B58" s="9">
        <v>2020</v>
      </c>
      <c r="C58" s="9" t="s">
        <v>4</v>
      </c>
      <c r="D58" s="9" t="s">
        <v>5</v>
      </c>
      <c r="E58" s="7" t="s">
        <v>6</v>
      </c>
      <c r="F58" s="5" t="s">
        <v>59</v>
      </c>
      <c r="G58" s="7" t="s">
        <v>8</v>
      </c>
      <c r="H58" s="7" t="s">
        <v>9</v>
      </c>
      <c r="I58" s="9" t="s">
        <v>47</v>
      </c>
      <c r="J58" s="9">
        <v>0.8</v>
      </c>
      <c r="K58" s="5">
        <v>2606</v>
      </c>
      <c r="L58" s="5">
        <v>6165</v>
      </c>
      <c r="M58" s="5">
        <f t="shared" si="18"/>
        <v>4714.7242277992282</v>
      </c>
      <c r="N58" s="5">
        <f t="shared" si="19"/>
        <v>11504.000000000002</v>
      </c>
      <c r="O58">
        <f t="shared" si="20"/>
        <v>7851.835183397684</v>
      </c>
      <c r="P58">
        <f t="shared" si="21"/>
        <v>1877.4232256370578</v>
      </c>
      <c r="Q58">
        <f t="shared" si="22"/>
        <v>499.14440154440149</v>
      </c>
      <c r="R58">
        <f t="shared" si="23"/>
        <v>515.0091216216216</v>
      </c>
      <c r="S58">
        <f t="shared" si="24"/>
        <v>6128.0000000000027</v>
      </c>
      <c r="T58" s="5">
        <v>302059</v>
      </c>
      <c r="U58" s="5">
        <v>47021</v>
      </c>
      <c r="V58" s="5">
        <v>71932</v>
      </c>
      <c r="W58" s="9">
        <f t="shared" si="25"/>
        <v>421012</v>
      </c>
      <c r="Y58" s="2">
        <f t="shared" si="26"/>
        <v>39255.136159999995</v>
      </c>
      <c r="Z58">
        <v>251.0091216216216</v>
      </c>
      <c r="AA58">
        <v>264</v>
      </c>
      <c r="AB58">
        <v>691.13175675675677</v>
      </c>
      <c r="AC58">
        <v>1186.291468880301</v>
      </c>
      <c r="AD58">
        <v>223.54594594594593</v>
      </c>
      <c r="AE58">
        <v>275.59845559845559</v>
      </c>
      <c r="AF58">
        <v>2116.5682432432432</v>
      </c>
      <c r="AG58">
        <v>2598.1559845559846</v>
      </c>
      <c r="AH58">
        <v>5176.8000000000011</v>
      </c>
      <c r="AI58">
        <v>6327.2000000000007</v>
      </c>
      <c r="AJ58">
        <v>2768.1489562904053</v>
      </c>
      <c r="AK58">
        <v>3359.8510437095974</v>
      </c>
      <c r="AL58">
        <v>3295.16722972973</v>
      </c>
      <c r="AM58">
        <v>4556.667953667954</v>
      </c>
      <c r="AO58" s="9">
        <f t="shared" si="27"/>
        <v>1.0252245597854146</v>
      </c>
      <c r="AP58" s="9">
        <f t="shared" si="28"/>
        <v>1.2637443200669491</v>
      </c>
      <c r="AQ58" s="9">
        <f t="shared" si="29"/>
        <v>1.1042834688548127</v>
      </c>
      <c r="AR58" s="9">
        <f t="shared" si="30"/>
        <v>1.1021454740604288</v>
      </c>
      <c r="AS58" s="9">
        <f t="shared" si="31"/>
        <v>1.0999999999999999</v>
      </c>
      <c r="AT58" s="9">
        <f t="shared" si="32"/>
        <v>1.0965571291480405</v>
      </c>
      <c r="AU58" s="9">
        <f t="shared" si="33"/>
        <v>1.1606631691156233</v>
      </c>
      <c r="AW58" s="17">
        <f t="shared" si="35"/>
        <v>0.12307683643029375</v>
      </c>
      <c r="AX58" t="str">
        <f t="shared" si="36"/>
        <v>Green</v>
      </c>
      <c r="AZ58" t="str">
        <f t="shared" si="37"/>
        <v>Cheap RU ramp</v>
      </c>
    </row>
    <row r="59" spans="1:52" ht="15.75">
      <c r="A59" s="5"/>
      <c r="B59" s="9">
        <v>2020</v>
      </c>
      <c r="C59" s="9" t="s">
        <v>4</v>
      </c>
      <c r="D59" s="9" t="s">
        <v>5</v>
      </c>
      <c r="E59" s="7" t="s">
        <v>6</v>
      </c>
      <c r="F59" s="5" t="s">
        <v>60</v>
      </c>
      <c r="G59" s="7" t="s">
        <v>8</v>
      </c>
      <c r="H59" s="7" t="s">
        <v>9</v>
      </c>
      <c r="I59" s="9" t="s">
        <v>47</v>
      </c>
      <c r="J59" s="9">
        <v>0.8</v>
      </c>
      <c r="K59" s="5">
        <v>2826</v>
      </c>
      <c r="L59" s="5">
        <v>6165</v>
      </c>
      <c r="M59" s="5">
        <f t="shared" si="18"/>
        <v>4500.6852316602317</v>
      </c>
      <c r="N59" s="5">
        <f t="shared" si="19"/>
        <v>8535.4004746718092</v>
      </c>
      <c r="O59">
        <f t="shared" si="20"/>
        <v>11210</v>
      </c>
      <c r="P59">
        <f t="shared" si="21"/>
        <v>1725.1335135135137</v>
      </c>
      <c r="Q59">
        <f t="shared" si="22"/>
        <v>479.62471042471043</v>
      </c>
      <c r="R59">
        <f t="shared" si="23"/>
        <v>511.29222972972968</v>
      </c>
      <c r="S59">
        <f t="shared" si="24"/>
        <v>6128.0000000000073</v>
      </c>
      <c r="T59" s="5">
        <v>302693</v>
      </c>
      <c r="U59" s="5">
        <v>47021</v>
      </c>
      <c r="V59" s="5">
        <v>71932</v>
      </c>
      <c r="W59" s="9">
        <f t="shared" si="25"/>
        <v>421646</v>
      </c>
      <c r="Y59" s="2">
        <f t="shared" si="26"/>
        <v>39255.136159999995</v>
      </c>
      <c r="Z59">
        <v>247.29222972972971</v>
      </c>
      <c r="AA59">
        <v>264</v>
      </c>
      <c r="AB59">
        <v>621.87</v>
      </c>
      <c r="AC59">
        <v>1103.2635135135135</v>
      </c>
      <c r="AD59">
        <v>210.53281853281854</v>
      </c>
      <c r="AE59">
        <v>269.09189189189186</v>
      </c>
      <c r="AF59">
        <v>2009.5487451737451</v>
      </c>
      <c r="AG59">
        <v>2491.1364864864868</v>
      </c>
      <c r="AH59">
        <v>3839.6761503474845</v>
      </c>
      <c r="AI59">
        <v>4695.7243243243238</v>
      </c>
      <c r="AJ59">
        <v>2768.1489562904044</v>
      </c>
      <c r="AK59">
        <v>3359.8510437096029</v>
      </c>
      <c r="AL59">
        <v>5045</v>
      </c>
      <c r="AM59">
        <v>6165</v>
      </c>
      <c r="AO59" s="9">
        <f t="shared" si="27"/>
        <v>1.0326775360523317</v>
      </c>
      <c r="AP59" s="9">
        <f t="shared" si="28"/>
        <v>1.2790471054805941</v>
      </c>
      <c r="AQ59" s="9">
        <f t="shared" si="29"/>
        <v>1.1220935287241953</v>
      </c>
      <c r="AR59" s="9">
        <f t="shared" si="30"/>
        <v>1.107003204295425</v>
      </c>
      <c r="AS59" s="9">
        <f t="shared" si="31"/>
        <v>1.1002938498922341</v>
      </c>
      <c r="AT59" s="9">
        <f t="shared" si="32"/>
        <v>1.0965571291480414</v>
      </c>
      <c r="AU59" s="9">
        <f t="shared" si="33"/>
        <v>1.0999107939339876</v>
      </c>
      <c r="AW59" s="17">
        <f t="shared" si="35"/>
        <v>0.13346514702673618</v>
      </c>
      <c r="AX59" t="str">
        <f t="shared" si="36"/>
        <v>Green</v>
      </c>
      <c r="AZ59" t="str">
        <f t="shared" si="37"/>
        <v>Cheap LNG ramp</v>
      </c>
    </row>
    <row r="60" spans="1:52" ht="15.75">
      <c r="A60" s="5"/>
      <c r="B60" s="9">
        <v>2020</v>
      </c>
      <c r="C60" s="9" t="s">
        <v>4</v>
      </c>
      <c r="D60" s="9" t="s">
        <v>5</v>
      </c>
      <c r="E60" s="7" t="s">
        <v>6</v>
      </c>
      <c r="F60" s="5" t="s">
        <v>68</v>
      </c>
      <c r="G60" s="7" t="s">
        <v>8</v>
      </c>
      <c r="H60" s="7" t="s">
        <v>9</v>
      </c>
      <c r="I60" s="9" t="s">
        <v>47</v>
      </c>
      <c r="J60" s="9">
        <v>0.8</v>
      </c>
      <c r="K60" s="5">
        <v>2913</v>
      </c>
      <c r="L60" s="5">
        <v>6165</v>
      </c>
      <c r="M60" s="5">
        <f t="shared" si="18"/>
        <v>4928.7632239382237</v>
      </c>
      <c r="N60" s="5">
        <f t="shared" si="19"/>
        <v>9312.0401111567116</v>
      </c>
      <c r="O60">
        <f t="shared" si="20"/>
        <v>8450.9295913143214</v>
      </c>
      <c r="P60">
        <f t="shared" si="21"/>
        <v>3220.0000000000009</v>
      </c>
      <c r="Q60">
        <f t="shared" si="22"/>
        <v>531.67722007722</v>
      </c>
      <c r="R60">
        <f t="shared" si="23"/>
        <v>518.72601351351352</v>
      </c>
      <c r="S60">
        <f t="shared" si="24"/>
        <v>6128.0000000000082</v>
      </c>
      <c r="T60" s="5">
        <v>321294</v>
      </c>
      <c r="U60" s="5">
        <v>47021</v>
      </c>
      <c r="V60" s="5">
        <v>71932</v>
      </c>
      <c r="W60" s="9">
        <f t="shared" si="25"/>
        <v>440247</v>
      </c>
      <c r="Y60" s="2">
        <f t="shared" si="26"/>
        <v>39255.136159999995</v>
      </c>
      <c r="Z60">
        <v>254.72601351351349</v>
      </c>
      <c r="AA60">
        <v>264</v>
      </c>
      <c r="AB60">
        <v>1509.0500000000009</v>
      </c>
      <c r="AC60">
        <v>1710.95</v>
      </c>
      <c r="AD60">
        <v>236.55907335907335</v>
      </c>
      <c r="AE60">
        <v>295.1181467181467</v>
      </c>
      <c r="AF60">
        <v>2223.5877413127414</v>
      </c>
      <c r="AG60">
        <v>2705.1754826254828</v>
      </c>
      <c r="AH60">
        <v>4223.8231227397246</v>
      </c>
      <c r="AI60">
        <v>5088.216988416988</v>
      </c>
      <c r="AJ60">
        <v>2768.148956290408</v>
      </c>
      <c r="AK60">
        <v>3359.8510437096002</v>
      </c>
      <c r="AL60">
        <v>3613.9281434378731</v>
      </c>
      <c r="AM60">
        <v>4837.0014478764479</v>
      </c>
      <c r="AO60" s="9">
        <f t="shared" si="27"/>
        <v>1.0178783909904008</v>
      </c>
      <c r="AP60" s="9">
        <f t="shared" si="28"/>
        <v>1.062701863354037</v>
      </c>
      <c r="AQ60" s="9">
        <f t="shared" si="29"/>
        <v>1.110140271480069</v>
      </c>
      <c r="AR60" s="9">
        <f t="shared" si="30"/>
        <v>1.0977096523877929</v>
      </c>
      <c r="AS60" s="9">
        <f t="shared" si="31"/>
        <v>1.0928254018839156</v>
      </c>
      <c r="AT60" s="9">
        <f t="shared" si="32"/>
        <v>1.0965571291480403</v>
      </c>
      <c r="AU60" s="9">
        <f t="shared" si="33"/>
        <v>1.1447264814152069</v>
      </c>
      <c r="AW60" s="17">
        <f t="shared" si="35"/>
        <v>0.13757884677547685</v>
      </c>
      <c r="AX60" t="str">
        <f t="shared" si="36"/>
        <v>Green</v>
      </c>
      <c r="AZ60" t="str">
        <f t="shared" si="37"/>
        <v>Cheap DZ ramp</v>
      </c>
    </row>
    <row r="61" spans="1:52" ht="15.75">
      <c r="A61" s="5"/>
      <c r="B61" s="9">
        <v>2020</v>
      </c>
      <c r="C61" s="9" t="s">
        <v>4</v>
      </c>
      <c r="D61" s="9" t="s">
        <v>5</v>
      </c>
      <c r="E61" s="7" t="s">
        <v>6</v>
      </c>
      <c r="F61" s="5" t="s">
        <v>69</v>
      </c>
      <c r="G61" s="7" t="s">
        <v>8</v>
      </c>
      <c r="H61" s="7" t="s">
        <v>9</v>
      </c>
      <c r="I61" s="9" t="s">
        <v>47</v>
      </c>
      <c r="J61" s="9">
        <v>0.8</v>
      </c>
      <c r="K61" s="5">
        <v>2928</v>
      </c>
      <c r="L61" s="5">
        <v>6165</v>
      </c>
      <c r="M61" s="5">
        <f t="shared" si="18"/>
        <v>5089.2924710424713</v>
      </c>
      <c r="N61" s="5">
        <f t="shared" si="19"/>
        <v>9575.878407104241</v>
      </c>
      <c r="O61">
        <f t="shared" si="20"/>
        <v>8833.0024131274131</v>
      </c>
      <c r="P61">
        <f t="shared" si="21"/>
        <v>2324.278957528958</v>
      </c>
      <c r="Q61">
        <f t="shared" si="22"/>
        <v>551.19691119691106</v>
      </c>
      <c r="R61">
        <f t="shared" si="23"/>
        <v>528</v>
      </c>
      <c r="S61">
        <f t="shared" si="24"/>
        <v>6128.0000000000027</v>
      </c>
      <c r="T61" s="5">
        <v>327802</v>
      </c>
      <c r="U61" s="5">
        <v>47021</v>
      </c>
      <c r="V61" s="5">
        <v>71932</v>
      </c>
      <c r="W61" s="9">
        <f t="shared" si="25"/>
        <v>446755</v>
      </c>
      <c r="Y61" s="2">
        <f t="shared" si="26"/>
        <v>39194.649159999986</v>
      </c>
      <c r="Z61">
        <v>264</v>
      </c>
      <c r="AA61">
        <v>264</v>
      </c>
      <c r="AB61">
        <v>926.63561776061783</v>
      </c>
      <c r="AC61">
        <v>1397.64333976834</v>
      </c>
      <c r="AD61">
        <v>249.57220077220074</v>
      </c>
      <c r="AE61">
        <v>301.62471042471037</v>
      </c>
      <c r="AF61">
        <v>2330.6072393822396</v>
      </c>
      <c r="AG61">
        <v>2758.6852316602317</v>
      </c>
      <c r="AH61">
        <v>4389.5382526640869</v>
      </c>
      <c r="AI61">
        <v>5186.340154440154</v>
      </c>
      <c r="AJ61">
        <v>2768.1489562904039</v>
      </c>
      <c r="AK61">
        <v>3359.8510437095988</v>
      </c>
      <c r="AL61">
        <v>3855.8342181467183</v>
      </c>
      <c r="AM61">
        <v>4977.1681949806953</v>
      </c>
      <c r="AO61" s="9">
        <f t="shared" si="27"/>
        <v>1</v>
      </c>
      <c r="AP61" s="9">
        <f t="shared" si="28"/>
        <v>1.2026468124585488</v>
      </c>
      <c r="AQ61" s="9">
        <f t="shared" si="29"/>
        <v>1.0944354160829364</v>
      </c>
      <c r="AR61" s="9">
        <f t="shared" si="30"/>
        <v>1.0841134587398367</v>
      </c>
      <c r="AS61" s="9">
        <f t="shared" si="31"/>
        <v>1.0832092752122802</v>
      </c>
      <c r="AT61" s="9">
        <f t="shared" si="32"/>
        <v>1.0965571291480409</v>
      </c>
      <c r="AU61" s="9">
        <f t="shared" si="33"/>
        <v>1.1269482248943434</v>
      </c>
      <c r="AW61" s="17">
        <f t="shared" si="35"/>
        <v>0.13828728857621944</v>
      </c>
      <c r="AX61" t="str">
        <f t="shared" si="36"/>
        <v>Green</v>
      </c>
      <c r="AZ61" t="str">
        <f t="shared" si="37"/>
        <v>Cheap AZ ramp</v>
      </c>
    </row>
    <row r="62" spans="1:52" ht="15.75">
      <c r="A62" s="5"/>
      <c r="B62" s="9">
        <v>2020</v>
      </c>
      <c r="C62" s="9" t="s">
        <v>4</v>
      </c>
      <c r="D62" s="9" t="s">
        <v>5</v>
      </c>
      <c r="E62" s="7" t="s">
        <v>6</v>
      </c>
      <c r="F62" s="5" t="s">
        <v>70</v>
      </c>
      <c r="G62" s="7" t="s">
        <v>8</v>
      </c>
      <c r="H62" s="7" t="s">
        <v>9</v>
      </c>
      <c r="I62" s="9" t="s">
        <v>47</v>
      </c>
      <c r="J62" s="9">
        <v>0.8</v>
      </c>
      <c r="K62" s="5">
        <v>2893</v>
      </c>
      <c r="L62" s="5">
        <v>6165</v>
      </c>
      <c r="M62" s="5">
        <f t="shared" si="18"/>
        <v>5062.2115152123506</v>
      </c>
      <c r="N62" s="5">
        <f t="shared" si="19"/>
        <v>9489.5718146718136</v>
      </c>
      <c r="O62">
        <f t="shared" si="20"/>
        <v>8833.0024131274131</v>
      </c>
      <c r="P62">
        <f t="shared" si="21"/>
        <v>2324.278957528958</v>
      </c>
      <c r="Q62">
        <f t="shared" si="22"/>
        <v>672</v>
      </c>
      <c r="R62">
        <f t="shared" si="23"/>
        <v>520.58445945945937</v>
      </c>
      <c r="S62">
        <f t="shared" si="24"/>
        <v>6128.0000000000018</v>
      </c>
      <c r="T62" s="5">
        <v>327491</v>
      </c>
      <c r="U62" s="5">
        <v>47021</v>
      </c>
      <c r="V62" s="5">
        <v>71932</v>
      </c>
      <c r="W62" s="9">
        <f t="shared" si="25"/>
        <v>446444</v>
      </c>
      <c r="Y62" s="2">
        <f t="shared" si="26"/>
        <v>39194.649159999994</v>
      </c>
      <c r="Z62">
        <v>256.58445945945942</v>
      </c>
      <c r="AA62">
        <v>264</v>
      </c>
      <c r="AB62">
        <v>926.63561776061783</v>
      </c>
      <c r="AC62">
        <v>1397.64333976834</v>
      </c>
      <c r="AD62">
        <v>335.7</v>
      </c>
      <c r="AE62">
        <v>336.3</v>
      </c>
      <c r="AF62">
        <v>2303.5262835521189</v>
      </c>
      <c r="AG62">
        <v>2758.6852316602317</v>
      </c>
      <c r="AH62">
        <v>4303.2316602316596</v>
      </c>
      <c r="AI62">
        <v>5186.340154440154</v>
      </c>
      <c r="AJ62">
        <v>2768.1489562904067</v>
      </c>
      <c r="AK62">
        <v>3359.8510437095952</v>
      </c>
      <c r="AL62">
        <v>3855.8342181467183</v>
      </c>
      <c r="AM62">
        <v>4977.1681949806953</v>
      </c>
      <c r="AO62" s="9">
        <f t="shared" si="27"/>
        <v>1.0142446444679514</v>
      </c>
      <c r="AP62" s="9">
        <f t="shared" si="28"/>
        <v>1.2026468124585488</v>
      </c>
      <c r="AQ62" s="9">
        <f t="shared" si="29"/>
        <v>1.0008928571428573</v>
      </c>
      <c r="AR62" s="9">
        <f t="shared" si="30"/>
        <v>1.089913064031466</v>
      </c>
      <c r="AS62" s="9">
        <f t="shared" si="31"/>
        <v>1.0930609422063831</v>
      </c>
      <c r="AT62" s="9">
        <f t="shared" si="32"/>
        <v>1.0965571291480398</v>
      </c>
      <c r="AU62" s="9">
        <f t="shared" si="33"/>
        <v>1.1269482248943434</v>
      </c>
      <c r="AW62" s="17">
        <f t="shared" si="35"/>
        <v>0.1366363597260116</v>
      </c>
      <c r="AX62" t="str">
        <f t="shared" si="36"/>
        <v>Green</v>
      </c>
      <c r="AZ62" t="str">
        <f t="shared" si="37"/>
        <v>Cheap LY ramp</v>
      </c>
    </row>
    <row r="116" spans="3:119">
      <c r="C116" t="s">
        <v>72</v>
      </c>
      <c r="AZ116" t="s">
        <v>73</v>
      </c>
    </row>
    <row r="119" spans="3:119">
      <c r="BU119" t="s">
        <v>74</v>
      </c>
      <c r="CR119" t="s">
        <v>75</v>
      </c>
      <c r="DL119" s="5"/>
      <c r="DO119" t="s">
        <v>74</v>
      </c>
    </row>
    <row r="120" spans="3:119">
      <c r="DL120" s="5"/>
    </row>
  </sheetData>
  <mergeCells count="4">
    <mergeCell ref="C2:D2"/>
    <mergeCell ref="F2:I2"/>
    <mergeCell ref="M2:S2"/>
    <mergeCell ref="T2:V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DO120"/>
  <sheetViews>
    <sheetView topLeftCell="AM32" zoomScale="55" zoomScaleNormal="55" workbookViewId="0">
      <selection activeCell="H53" sqref="H53"/>
    </sheetView>
  </sheetViews>
  <sheetFormatPr defaultRowHeight="15"/>
  <cols>
    <col min="1" max="1" width="3.44140625" bestFit="1" customWidth="1"/>
    <col min="2" max="2" width="5" bestFit="1" customWidth="1"/>
    <col min="3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10" width="6.109375" customWidth="1"/>
    <col min="11" max="11" width="8.44140625" bestFit="1" customWidth="1"/>
    <col min="12" max="12" width="8.6640625" bestFit="1" customWidth="1"/>
    <col min="13" max="15" width="7" customWidth="1"/>
    <col min="16" max="19" width="5.5546875" customWidth="1"/>
    <col min="20" max="22" width="7.77734375" customWidth="1"/>
    <col min="23" max="23" width="8.44140625" customWidth="1"/>
    <col min="24" max="24" width="5.109375" customWidth="1"/>
    <col min="25" max="25" width="10" bestFit="1" customWidth="1"/>
  </cols>
  <sheetData>
    <row r="2" spans="1:47" ht="15.75">
      <c r="C2" s="47" t="s">
        <v>28</v>
      </c>
      <c r="D2" s="47"/>
      <c r="F2" s="47" t="s">
        <v>23</v>
      </c>
      <c r="G2" s="47"/>
      <c r="H2" s="47"/>
      <c r="I2" s="47"/>
      <c r="J2" s="15"/>
      <c r="M2" s="47" t="s">
        <v>11</v>
      </c>
      <c r="N2" s="47"/>
      <c r="O2" s="47"/>
      <c r="P2" s="47"/>
      <c r="Q2" s="47"/>
      <c r="R2" s="47"/>
      <c r="S2" s="47"/>
      <c r="T2" s="47" t="s">
        <v>19</v>
      </c>
      <c r="U2" s="47"/>
      <c r="V2" s="47"/>
    </row>
    <row r="3" spans="1:47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K3" s="1" t="s">
        <v>2</v>
      </c>
      <c r="L3" s="1" t="s">
        <v>3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20</v>
      </c>
      <c r="U3" s="1" t="s">
        <v>21</v>
      </c>
      <c r="V3" s="1" t="s">
        <v>22</v>
      </c>
      <c r="W3" s="1" t="s">
        <v>46</v>
      </c>
      <c r="AO3" s="1" t="s">
        <v>61</v>
      </c>
    </row>
    <row r="4" spans="1:47" s="1" customFormat="1" ht="15.75">
      <c r="J4" s="1" t="s">
        <v>64</v>
      </c>
      <c r="K4" s="1">
        <v>5082</v>
      </c>
      <c r="L4" s="1">
        <v>16515</v>
      </c>
      <c r="M4" s="1">
        <v>6776</v>
      </c>
      <c r="N4" s="1">
        <v>9592</v>
      </c>
      <c r="O4" s="1">
        <v>8190</v>
      </c>
      <c r="P4" s="1">
        <v>2092</v>
      </c>
      <c r="Q4" s="1">
        <v>514</v>
      </c>
      <c r="R4" s="1">
        <v>528</v>
      </c>
      <c r="S4" s="1">
        <v>6052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56</v>
      </c>
      <c r="AH4" s="1" t="s">
        <v>57</v>
      </c>
      <c r="AI4" s="1" t="s">
        <v>58</v>
      </c>
      <c r="AJ4" s="1" t="s">
        <v>62</v>
      </c>
      <c r="AK4" s="1" t="s">
        <v>63</v>
      </c>
      <c r="AL4" s="1" t="s">
        <v>66</v>
      </c>
      <c r="AM4" s="1" t="s">
        <v>67</v>
      </c>
      <c r="AO4" s="1" t="s">
        <v>17</v>
      </c>
      <c r="AP4" s="1" t="s">
        <v>15</v>
      </c>
      <c r="AQ4" s="1" t="s">
        <v>16</v>
      </c>
      <c r="AR4" s="1" t="s">
        <v>12</v>
      </c>
      <c r="AS4" s="1" t="s">
        <v>13</v>
      </c>
      <c r="AT4" s="1" t="s">
        <v>18</v>
      </c>
      <c r="AU4" s="1" t="s">
        <v>14</v>
      </c>
    </row>
    <row r="5" spans="1:47" s="9" customFormat="1" ht="15.75">
      <c r="A5" s="9">
        <v>1</v>
      </c>
      <c r="B5" s="9">
        <v>2020</v>
      </c>
      <c r="C5" s="9" t="s">
        <v>4</v>
      </c>
      <c r="D5" s="9" t="s">
        <v>5</v>
      </c>
      <c r="E5" s="9" t="s">
        <v>6</v>
      </c>
      <c r="F5" s="9" t="s">
        <v>7</v>
      </c>
      <c r="G5" s="9" t="s">
        <v>8</v>
      </c>
      <c r="H5" s="9" t="s">
        <v>9</v>
      </c>
      <c r="I5" s="9" t="s">
        <v>47</v>
      </c>
      <c r="J5" s="9">
        <v>0.5</v>
      </c>
      <c r="K5" s="9">
        <v>2918</v>
      </c>
      <c r="L5" s="9">
        <v>6165</v>
      </c>
      <c r="M5" s="9">
        <v>5089</v>
      </c>
      <c r="N5" s="9">
        <v>9583</v>
      </c>
      <c r="O5" s="9">
        <v>8833</v>
      </c>
      <c r="P5" s="9">
        <v>2324</v>
      </c>
      <c r="Q5" s="9">
        <v>551</v>
      </c>
      <c r="R5" s="9">
        <v>520</v>
      </c>
      <c r="S5" s="9">
        <v>6128</v>
      </c>
      <c r="T5" s="9">
        <v>329951</v>
      </c>
      <c r="U5" s="9">
        <v>47021</v>
      </c>
      <c r="V5" s="9">
        <v>71932</v>
      </c>
      <c r="W5" s="9">
        <f>SUM(T5:V5)</f>
        <v>448904</v>
      </c>
      <c r="Y5" s="8">
        <f>M5+N5+O5+P5+Q5+R5+S5</f>
        <v>33028</v>
      </c>
      <c r="Z5" s="9">
        <v>256.58445945945942</v>
      </c>
      <c r="AA5" s="9">
        <v>264</v>
      </c>
      <c r="AB5" s="9">
        <v>926.63561776061783</v>
      </c>
      <c r="AC5" s="9">
        <v>1397.64333976834</v>
      </c>
      <c r="AD5" s="9">
        <v>249.57220077220074</v>
      </c>
      <c r="AE5" s="9">
        <v>301.62471042471037</v>
      </c>
      <c r="AF5" s="9">
        <v>2330.6072393822396</v>
      </c>
      <c r="AG5" s="9">
        <v>2758.6852316602317</v>
      </c>
      <c r="AH5" s="9">
        <v>4396.9537932046187</v>
      </c>
      <c r="AI5" s="9">
        <v>5186.340154440154</v>
      </c>
      <c r="AJ5" s="9">
        <v>2757.6000000000172</v>
      </c>
      <c r="AK5" s="9">
        <v>3370.4</v>
      </c>
      <c r="AO5" s="9">
        <f>2*AA5/SUM(Z5:AA5)</f>
        <v>1.0142446444679514</v>
      </c>
      <c r="AP5" s="9">
        <f>2*AC5/SUM(AB5:AC5)</f>
        <v>1.2026468124585488</v>
      </c>
      <c r="AQ5" s="9">
        <f>2*AE5/SUM(AD5:AE5)</f>
        <v>1.0944354160829364</v>
      </c>
      <c r="AR5" s="9">
        <f>2*AG5/SUM(AF5:AG5)</f>
        <v>1.0841134587398367</v>
      </c>
      <c r="AS5" s="9">
        <f>2*AI5/SUM(AH5:AI5)</f>
        <v>1.0823710892672282</v>
      </c>
      <c r="AT5" s="9">
        <f>2*AK5/SUM(AJ5:AK5)</f>
        <v>1.099999999999997</v>
      </c>
      <c r="AU5" s="9" t="e">
        <f>2*AM5/SUM(AL5:AM5)</f>
        <v>#DIV/0!</v>
      </c>
    </row>
    <row r="6" spans="1:47" s="5" customFormat="1" ht="15.75">
      <c r="A6" s="5">
        <v>2</v>
      </c>
      <c r="B6" s="5">
        <v>2020</v>
      </c>
      <c r="C6" s="5" t="s">
        <v>4</v>
      </c>
      <c r="D6" s="5" t="s">
        <v>5</v>
      </c>
      <c r="E6" s="5" t="s">
        <v>6</v>
      </c>
      <c r="F6" s="5" t="s">
        <v>48</v>
      </c>
      <c r="G6" s="5" t="s">
        <v>8</v>
      </c>
      <c r="H6" s="5" t="s">
        <v>9</v>
      </c>
      <c r="I6" s="9" t="s">
        <v>47</v>
      </c>
      <c r="J6" s="9">
        <v>0.5</v>
      </c>
      <c r="K6" s="5">
        <v>2612</v>
      </c>
      <c r="L6" s="5">
        <v>6165</v>
      </c>
      <c r="M6" s="5">
        <v>6124</v>
      </c>
      <c r="N6" s="5">
        <v>9391</v>
      </c>
      <c r="O6" s="5">
        <v>8552</v>
      </c>
      <c r="P6" s="5">
        <v>2206</v>
      </c>
      <c r="Q6" s="5">
        <v>538</v>
      </c>
      <c r="R6" s="5">
        <v>520</v>
      </c>
      <c r="S6" s="5">
        <v>5724</v>
      </c>
      <c r="T6" s="5">
        <v>320577</v>
      </c>
      <c r="U6" s="5">
        <v>47021</v>
      </c>
      <c r="V6" s="5">
        <v>71932</v>
      </c>
      <c r="W6" s="9">
        <f>SUM(T6:V6)</f>
        <v>439530</v>
      </c>
      <c r="Y6" s="4">
        <f t="shared" ref="Y6:Y11" si="0">M6+N6+O6+P6+Q6+R6+S6</f>
        <v>33055</v>
      </c>
      <c r="Z6" s="5">
        <v>256.58445945945942</v>
      </c>
      <c r="AA6" s="5">
        <v>264</v>
      </c>
      <c r="AB6" s="5">
        <v>867.7596525096526</v>
      </c>
      <c r="AC6" s="5">
        <v>1338.7673745173747</v>
      </c>
      <c r="AD6" s="5">
        <v>243.06563706563705</v>
      </c>
      <c r="AE6" s="5">
        <v>295.1181467181467</v>
      </c>
      <c r="AF6" s="5">
        <v>2755.8000000000006</v>
      </c>
      <c r="AG6" s="5">
        <v>3368.2000000000003</v>
      </c>
      <c r="AH6" s="5">
        <v>4303.2316602316596</v>
      </c>
      <c r="AI6" s="5">
        <v>5088.216988416988</v>
      </c>
      <c r="AJ6" s="5">
        <v>2372.1389077121598</v>
      </c>
      <c r="AK6" s="5">
        <v>3370.4</v>
      </c>
      <c r="AO6" s="9">
        <f>2*AA6/SUM(Z6:AA6)</f>
        <v>1.0142446444679514</v>
      </c>
      <c r="AP6" s="9">
        <f>2*AC6/SUM(AB6:AC6)</f>
        <v>1.213461116151537</v>
      </c>
      <c r="AQ6" s="9">
        <f>2*AE6/SUM(AD6:AE6)</f>
        <v>1.0967188369864036</v>
      </c>
      <c r="AR6" s="9">
        <f>2*AG6/SUM(AF6:AG6)</f>
        <v>1.0999999999999999</v>
      </c>
      <c r="AS6" s="9">
        <f>2*AI6/SUM(AH6:AI6)</f>
        <v>1.0835851163705486</v>
      </c>
      <c r="AT6" s="9">
        <f>2*AK6/SUM(AJ6:AK6)</f>
        <v>1.1738361913311877</v>
      </c>
      <c r="AU6" s="9" t="e">
        <f t="shared" ref="AU6:AU41" si="1">2*AM6/SUM(AL6:AM6)</f>
        <v>#DIV/0!</v>
      </c>
    </row>
    <row r="7" spans="1:47" s="5" customFormat="1" ht="15.75">
      <c r="A7" s="5">
        <v>3</v>
      </c>
      <c r="B7" s="5">
        <v>2020</v>
      </c>
      <c r="C7" s="5" t="s">
        <v>4</v>
      </c>
      <c r="D7" s="5" t="s">
        <v>5</v>
      </c>
      <c r="E7" s="5" t="s">
        <v>6</v>
      </c>
      <c r="F7" s="5" t="s">
        <v>59</v>
      </c>
      <c r="G7" s="5" t="s">
        <v>8</v>
      </c>
      <c r="H7" s="5" t="s">
        <v>9</v>
      </c>
      <c r="I7" s="9" t="s">
        <v>47</v>
      </c>
      <c r="J7" s="9">
        <v>0.5</v>
      </c>
      <c r="K7" s="5">
        <v>2197</v>
      </c>
      <c r="L7" s="5">
        <v>6165</v>
      </c>
      <c r="M7" s="5">
        <v>4910</v>
      </c>
      <c r="N7" s="5">
        <v>11504</v>
      </c>
      <c r="O7" s="5">
        <v>8334</v>
      </c>
      <c r="P7" s="5">
        <v>2088</v>
      </c>
      <c r="Q7" s="5">
        <v>525</v>
      </c>
      <c r="R7" s="5">
        <v>518</v>
      </c>
      <c r="S7" s="5">
        <v>5208</v>
      </c>
      <c r="T7" s="5">
        <v>315095</v>
      </c>
      <c r="U7" s="5">
        <v>47021</v>
      </c>
      <c r="V7" s="5">
        <v>71932</v>
      </c>
      <c r="W7" s="9">
        <f t="shared" ref="W7:W41" si="2">SUM(T7:V7)</f>
        <v>434048</v>
      </c>
      <c r="Y7" s="4">
        <f t="shared" si="0"/>
        <v>33087</v>
      </c>
      <c r="Z7" s="5">
        <v>254.72601351351349</v>
      </c>
      <c r="AA7" s="5">
        <v>264</v>
      </c>
      <c r="AB7" s="5">
        <v>808.88368725868736</v>
      </c>
      <c r="AC7" s="5">
        <v>1279.8914092664095</v>
      </c>
      <c r="AD7" s="5">
        <v>236.55907335907335</v>
      </c>
      <c r="AE7" s="5">
        <v>288.61158301158298</v>
      </c>
      <c r="AF7" s="5">
        <v>2223.5877413127414</v>
      </c>
      <c r="AG7" s="5">
        <v>2687.2008582682402</v>
      </c>
      <c r="AH7" s="5">
        <v>5176.7999999999756</v>
      </c>
      <c r="AI7" s="5">
        <v>6327.2000000000007</v>
      </c>
      <c r="AJ7" s="5">
        <v>1838</v>
      </c>
      <c r="AK7" s="5">
        <v>3370.4</v>
      </c>
      <c r="AO7" s="9">
        <f>2*AA7/SUM(Z7:AA7)</f>
        <v>1.0178783909904008</v>
      </c>
      <c r="AP7" s="9">
        <f>2*AC7/SUM(AB7:AC7)</f>
        <v>1.2254947039493596</v>
      </c>
      <c r="AQ7" s="9">
        <f>2*AE7/SUM(AD7:AE7)</f>
        <v>1.0991154189996706</v>
      </c>
      <c r="AR7" s="9">
        <f>2*AG7/SUM(AF7:AG7)</f>
        <v>1.0944070606083629</v>
      </c>
      <c r="AS7" s="9">
        <f>2*AI7/SUM(AH7:AI7)</f>
        <v>1.1000000000000023</v>
      </c>
      <c r="AT7" s="9">
        <f>2*AK7/SUM(AJ7:AK7)</f>
        <v>1.2942170340219648</v>
      </c>
      <c r="AU7" s="9" t="e">
        <f t="shared" si="1"/>
        <v>#DIV/0!</v>
      </c>
    </row>
    <row r="8" spans="1:47" s="5" customFormat="1" ht="15.75">
      <c r="A8" s="5">
        <v>4</v>
      </c>
      <c r="B8" s="5">
        <v>2020</v>
      </c>
      <c r="C8" s="5" t="s">
        <v>4</v>
      </c>
      <c r="D8" s="5" t="s">
        <v>5</v>
      </c>
      <c r="E8" s="5" t="s">
        <v>6</v>
      </c>
      <c r="F8" s="5" t="s">
        <v>60</v>
      </c>
      <c r="G8" s="5" t="s">
        <v>8</v>
      </c>
      <c r="H8" s="5" t="s">
        <v>9</v>
      </c>
      <c r="I8" s="9" t="s">
        <v>47</v>
      </c>
      <c r="J8" s="9">
        <v>0.5</v>
      </c>
      <c r="K8" s="5">
        <v>2381</v>
      </c>
      <c r="L8" s="5">
        <v>6165</v>
      </c>
      <c r="M8" s="5">
        <v>4740</v>
      </c>
      <c r="N8" s="5">
        <v>8999</v>
      </c>
      <c r="O8" s="5">
        <v>11210</v>
      </c>
      <c r="P8" s="5">
        <v>1912</v>
      </c>
      <c r="Q8" s="5">
        <v>505</v>
      </c>
      <c r="R8" s="5">
        <v>515</v>
      </c>
      <c r="S8" s="5">
        <v>5208</v>
      </c>
      <c r="T8" s="5">
        <v>315586</v>
      </c>
      <c r="U8" s="5">
        <v>47021</v>
      </c>
      <c r="V8" s="5">
        <v>71932</v>
      </c>
      <c r="W8" s="9">
        <f t="shared" si="2"/>
        <v>434539</v>
      </c>
      <c r="Y8" s="4">
        <f t="shared" si="0"/>
        <v>33089</v>
      </c>
      <c r="Z8" s="5">
        <v>251.0091216216216</v>
      </c>
      <c r="AA8" s="5">
        <v>264</v>
      </c>
      <c r="AB8" s="5">
        <v>691.13175675675677</v>
      </c>
      <c r="AC8" s="5">
        <v>1221.015444015444</v>
      </c>
      <c r="AD8" s="5">
        <v>223.54594594594593</v>
      </c>
      <c r="AE8" s="5">
        <v>282.10501930501925</v>
      </c>
      <c r="AF8" s="5">
        <v>2141.8169032432384</v>
      </c>
      <c r="AG8" s="5">
        <v>2598.1559845559846</v>
      </c>
      <c r="AH8" s="5">
        <v>4106.9853281853275</v>
      </c>
      <c r="AI8" s="5">
        <v>4891.9706563706559</v>
      </c>
      <c r="AJ8" s="5">
        <v>1838</v>
      </c>
      <c r="AK8" s="5">
        <v>3370.4</v>
      </c>
      <c r="AO8" s="9">
        <f>2*AA8/SUM(Z8:AA8)</f>
        <v>1.0252245597854146</v>
      </c>
      <c r="AP8" s="9">
        <f>2*AC8/SUM(AB8:AC8)</f>
        <v>1.2771144852471081</v>
      </c>
      <c r="AQ8" s="9">
        <f>2*AE8/SUM(AD8:AE8)</f>
        <v>1.1158092783032842</v>
      </c>
      <c r="AR8" s="9">
        <f>2*AG8/SUM(AF8:AG8)</f>
        <v>1.096274618466146</v>
      </c>
      <c r="AS8" s="9">
        <f>2*AI8/SUM(AH8:AI8)</f>
        <v>1.0872307109327484</v>
      </c>
      <c r="AT8" s="9">
        <f>2*AK8/SUM(AJ8:AK8)</f>
        <v>1.2942170340219648</v>
      </c>
      <c r="AU8" s="9" t="e">
        <f t="shared" si="1"/>
        <v>#DIV/0!</v>
      </c>
    </row>
    <row r="9" spans="1:47" s="1" customFormat="1" ht="15.75">
      <c r="A9" s="1">
        <v>5</v>
      </c>
      <c r="B9" s="7">
        <v>2020</v>
      </c>
      <c r="C9" s="7" t="s">
        <v>4</v>
      </c>
      <c r="D9" s="7" t="s">
        <v>39</v>
      </c>
      <c r="E9" s="7" t="s">
        <v>6</v>
      </c>
      <c r="F9" s="7" t="s">
        <v>7</v>
      </c>
      <c r="G9" s="7" t="s">
        <v>8</v>
      </c>
      <c r="H9" s="7" t="s">
        <v>9</v>
      </c>
      <c r="I9" s="9" t="s">
        <v>47</v>
      </c>
      <c r="J9" s="9">
        <v>0.5</v>
      </c>
      <c r="K9" s="7">
        <v>1799</v>
      </c>
      <c r="L9" s="7">
        <v>14299</v>
      </c>
      <c r="M9" s="7">
        <v>4572</v>
      </c>
      <c r="N9" s="7">
        <v>8563</v>
      </c>
      <c r="O9" s="11">
        <v>7479</v>
      </c>
      <c r="P9" s="11">
        <v>1755</v>
      </c>
      <c r="Q9" s="11">
        <v>483</v>
      </c>
      <c r="R9" s="7">
        <v>512</v>
      </c>
      <c r="S9" s="7">
        <v>5208</v>
      </c>
      <c r="T9" s="1">
        <v>356947</v>
      </c>
      <c r="U9" s="1">
        <v>89447</v>
      </c>
      <c r="V9" s="7">
        <v>35475</v>
      </c>
      <c r="W9" s="9">
        <f t="shared" si="2"/>
        <v>481869</v>
      </c>
      <c r="Y9" s="8">
        <f t="shared" si="0"/>
        <v>28572</v>
      </c>
      <c r="Z9" s="1">
        <v>249.6335347432024</v>
      </c>
      <c r="AA9" s="1">
        <v>262.72126132930509</v>
      </c>
      <c r="AB9" s="1">
        <v>693.62197885196383</v>
      </c>
      <c r="AC9" s="1">
        <v>1062.1748489425984</v>
      </c>
      <c r="AD9" s="1">
        <v>218.72990936555891</v>
      </c>
      <c r="AE9" s="1">
        <v>264.55105740181267</v>
      </c>
      <c r="AF9" s="1">
        <v>2118.7726383685795</v>
      </c>
      <c r="AG9" s="1">
        <v>2453.7928247734139</v>
      </c>
      <c r="AH9" s="1">
        <v>3936.2332326283986</v>
      </c>
      <c r="AI9" s="1">
        <v>4627.2456193353473</v>
      </c>
      <c r="AJ9" s="1">
        <v>1838</v>
      </c>
      <c r="AK9" s="1">
        <v>3370.4</v>
      </c>
      <c r="AO9" s="9">
        <f>2*AA9/SUM(Z9:AA9)</f>
        <v>1.0255442648071758</v>
      </c>
      <c r="AP9" s="9">
        <f>2*AC9/SUM(AB9:AC9)</f>
        <v>1.2099063309925044</v>
      </c>
      <c r="AQ9" s="9">
        <f>2*AE9/SUM(AD9:AE9)</f>
        <v>1.0948126476876336</v>
      </c>
      <c r="AR9" s="9">
        <f>2*AG9/SUM(AF9:AG9)</f>
        <v>1.0732674445243764</v>
      </c>
      <c r="AS9" s="9">
        <f>2*AI9/SUM(AH9:AI9)</f>
        <v>1.0806929518543142</v>
      </c>
      <c r="AT9" s="9">
        <f>2*AK9/SUM(AJ9:AK9)</f>
        <v>1.2942170340219648</v>
      </c>
      <c r="AU9" s="9" t="e">
        <f t="shared" si="1"/>
        <v>#DIV/0!</v>
      </c>
    </row>
    <row r="10" spans="1:47" ht="15.75">
      <c r="A10" s="9"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7</v>
      </c>
      <c r="G10" s="7" t="s">
        <v>8</v>
      </c>
      <c r="H10" s="7" t="s">
        <v>9</v>
      </c>
      <c r="I10" s="9" t="s">
        <v>47</v>
      </c>
      <c r="J10" s="9">
        <v>0.8</v>
      </c>
      <c r="K10" s="5">
        <v>2918</v>
      </c>
      <c r="L10" s="5">
        <v>6165</v>
      </c>
      <c r="M10" s="5">
        <v>5089</v>
      </c>
      <c r="N10" s="5">
        <v>9583</v>
      </c>
      <c r="O10" s="5">
        <v>8833</v>
      </c>
      <c r="P10" s="5">
        <v>2324</v>
      </c>
      <c r="Q10" s="5">
        <v>551</v>
      </c>
      <c r="R10" s="5">
        <v>520</v>
      </c>
      <c r="S10" s="5">
        <v>6128</v>
      </c>
      <c r="T10" s="5">
        <v>329951</v>
      </c>
      <c r="U10" s="5">
        <v>47021</v>
      </c>
      <c r="V10" s="5">
        <v>71932</v>
      </c>
      <c r="W10" s="9">
        <f t="shared" si="2"/>
        <v>448904</v>
      </c>
      <c r="Y10" s="4">
        <f t="shared" si="0"/>
        <v>33028</v>
      </c>
      <c r="AJ10">
        <v>2757.6000000000067</v>
      </c>
      <c r="AK10">
        <v>3370.4</v>
      </c>
      <c r="AO10" s="9" t="e">
        <f t="shared" ref="AO10:AO41" si="3">2*AA10/SUM(Z10:AA10)</f>
        <v>#DIV/0!</v>
      </c>
      <c r="AP10" s="9" t="e">
        <f t="shared" ref="AP10:AP41" si="4">2*AC10/SUM(AB10:AC10)</f>
        <v>#DIV/0!</v>
      </c>
      <c r="AQ10" s="9" t="e">
        <f t="shared" ref="AQ10:AQ41" si="5">2*AE10/SUM(AD10:AE10)</f>
        <v>#DIV/0!</v>
      </c>
      <c r="AR10" s="9" t="e">
        <f t="shared" ref="AR10:AR41" si="6">2*AG10/SUM(AF10:AG10)</f>
        <v>#DIV/0!</v>
      </c>
      <c r="AS10" s="9" t="e">
        <f t="shared" ref="AS10:AS41" si="7">2*AI10/SUM(AH10:AI10)</f>
        <v>#DIV/0!</v>
      </c>
      <c r="AT10" s="9">
        <f t="shared" ref="AT10:AT41" si="8">2*AK10/SUM(AJ10:AK10)</f>
        <v>1.0999999999999988</v>
      </c>
      <c r="AU10" s="9" t="e">
        <f t="shared" si="1"/>
        <v>#DIV/0!</v>
      </c>
    </row>
    <row r="11" spans="1:47" ht="15.75">
      <c r="A11" s="5"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7</v>
      </c>
      <c r="G11" s="7" t="s">
        <v>8</v>
      </c>
      <c r="H11" s="7" t="s">
        <v>9</v>
      </c>
      <c r="I11" t="s">
        <v>65</v>
      </c>
      <c r="J11" s="9">
        <v>0.5</v>
      </c>
      <c r="K11" s="5">
        <v>4329</v>
      </c>
      <c r="L11" s="5">
        <v>6165</v>
      </c>
      <c r="M11" s="5">
        <v>5057</v>
      </c>
      <c r="N11" s="5">
        <v>9587</v>
      </c>
      <c r="O11" s="5">
        <v>8833</v>
      </c>
      <c r="P11" s="5">
        <v>2324</v>
      </c>
      <c r="Q11" s="5">
        <v>544</v>
      </c>
      <c r="R11" s="5">
        <v>528</v>
      </c>
      <c r="S11" s="5">
        <v>6128</v>
      </c>
      <c r="T11" s="5">
        <v>327844</v>
      </c>
      <c r="U11" s="5">
        <v>47021</v>
      </c>
      <c r="V11" s="5">
        <v>71845</v>
      </c>
      <c r="W11" s="9">
        <f t="shared" si="2"/>
        <v>446710</v>
      </c>
      <c r="Y11" s="4">
        <f t="shared" si="0"/>
        <v>33001</v>
      </c>
      <c r="Z11">
        <v>264</v>
      </c>
      <c r="AA11">
        <v>264</v>
      </c>
      <c r="AB11">
        <v>1162.1394787644788</v>
      </c>
      <c r="AC11">
        <v>1162.1394787644788</v>
      </c>
      <c r="AD11">
        <v>269.09189189189186</v>
      </c>
      <c r="AE11">
        <v>275.59845559845559</v>
      </c>
      <c r="AF11">
        <v>2513.1957456370615</v>
      </c>
      <c r="AG11">
        <v>2544.6462355212357</v>
      </c>
      <c r="AH11">
        <v>4793.8474903474898</v>
      </c>
      <c r="AI11">
        <v>4793.8474903474898</v>
      </c>
      <c r="AJ11">
        <v>2757.6000000000008</v>
      </c>
      <c r="AK11">
        <v>3370.4</v>
      </c>
      <c r="AO11" s="9">
        <f t="shared" si="3"/>
        <v>1</v>
      </c>
      <c r="AP11" s="9">
        <f t="shared" si="4"/>
        <v>1</v>
      </c>
      <c r="AQ11" s="9">
        <f t="shared" si="5"/>
        <v>1.0119454360381868</v>
      </c>
      <c r="AR11" s="9">
        <f t="shared" si="6"/>
        <v>1.0062181637942298</v>
      </c>
      <c r="AS11" s="9">
        <f t="shared" si="7"/>
        <v>1</v>
      </c>
      <c r="AT11" s="9">
        <f t="shared" si="8"/>
        <v>1.0999999999999999</v>
      </c>
      <c r="AU11" s="9" t="e">
        <f t="shared" si="1"/>
        <v>#DIV/0!</v>
      </c>
    </row>
    <row r="12" spans="1:47" ht="16.5" customHeight="1">
      <c r="A12" s="5">
        <v>8</v>
      </c>
      <c r="B12" s="9">
        <v>2020</v>
      </c>
      <c r="C12" s="9" t="s">
        <v>4</v>
      </c>
      <c r="D12" s="9" t="s">
        <v>5</v>
      </c>
      <c r="E12" s="7" t="s">
        <v>6</v>
      </c>
      <c r="F12" s="7" t="s">
        <v>7</v>
      </c>
      <c r="G12" s="7" t="s">
        <v>8</v>
      </c>
      <c r="H12" s="7" t="s">
        <v>9</v>
      </c>
      <c r="I12" s="9" t="s">
        <v>45</v>
      </c>
      <c r="J12" s="9">
        <v>0.5</v>
      </c>
      <c r="K12" s="5">
        <v>3632</v>
      </c>
      <c r="L12" s="5">
        <v>6265</v>
      </c>
      <c r="M12" s="5">
        <v>5089</v>
      </c>
      <c r="N12" s="5">
        <v>9579</v>
      </c>
      <c r="O12" s="5">
        <v>8833</v>
      </c>
      <c r="P12" s="5">
        <v>2324</v>
      </c>
      <c r="Q12" s="5">
        <v>551</v>
      </c>
      <c r="R12" s="5">
        <v>524</v>
      </c>
      <c r="S12" s="5">
        <v>6128</v>
      </c>
      <c r="T12" s="5">
        <v>328502</v>
      </c>
      <c r="U12" s="5">
        <v>47021</v>
      </c>
      <c r="V12" s="5">
        <v>71932</v>
      </c>
      <c r="W12" s="9">
        <f t="shared" si="2"/>
        <v>447455</v>
      </c>
      <c r="Y12" s="2">
        <f t="shared" ref="Y12:Y41" si="9">L12+M12+N12+O12+P12+Q12+R12+S12</f>
        <v>39293</v>
      </c>
      <c r="Z12">
        <v>260.30135135135134</v>
      </c>
      <c r="AA12">
        <v>264</v>
      </c>
      <c r="AB12">
        <v>1044.3875482625483</v>
      </c>
      <c r="AC12">
        <v>1279.8914092664095</v>
      </c>
      <c r="AD12">
        <v>262.58532818532814</v>
      </c>
      <c r="AE12">
        <v>288.61158301158298</v>
      </c>
      <c r="AF12">
        <v>2437.6267374517374</v>
      </c>
      <c r="AG12">
        <v>2651.6657335907339</v>
      </c>
      <c r="AH12">
        <v>4589.4832333590666</v>
      </c>
      <c r="AI12">
        <v>4990.0938223938219</v>
      </c>
      <c r="AJ12">
        <v>2757.6000000000072</v>
      </c>
      <c r="AK12">
        <v>3370.4</v>
      </c>
      <c r="AL12">
        <v>4136.1677123552126</v>
      </c>
      <c r="AM12">
        <v>4696.8347007722014</v>
      </c>
      <c r="AO12" s="9">
        <f t="shared" si="3"/>
        <v>1.0070544327973134</v>
      </c>
      <c r="AP12" s="9">
        <f t="shared" si="4"/>
        <v>1.1013234062292743</v>
      </c>
      <c r="AQ12" s="9">
        <f t="shared" si="5"/>
        <v>1.0472177080414684</v>
      </c>
      <c r="AR12" s="9">
        <f t="shared" si="6"/>
        <v>1.0420567293699183</v>
      </c>
      <c r="AS12" s="9">
        <f t="shared" si="7"/>
        <v>1.0418192355156404</v>
      </c>
      <c r="AT12" s="9">
        <f t="shared" si="8"/>
        <v>1.0999999999999988</v>
      </c>
      <c r="AU12" s="9">
        <f t="shared" si="1"/>
        <v>1.0634741124471716</v>
      </c>
    </row>
    <row r="13" spans="1:47" ht="15.75">
      <c r="A13" s="5">
        <v>9</v>
      </c>
      <c r="B13" s="9">
        <v>2020</v>
      </c>
      <c r="C13" s="9" t="s">
        <v>4</v>
      </c>
      <c r="D13" s="9" t="s">
        <v>39</v>
      </c>
      <c r="E13" s="7" t="s">
        <v>6</v>
      </c>
      <c r="F13" s="7" t="s">
        <v>7</v>
      </c>
      <c r="G13" s="7" t="s">
        <v>8</v>
      </c>
      <c r="H13" s="7" t="s">
        <v>9</v>
      </c>
      <c r="I13" s="9" t="s">
        <v>45</v>
      </c>
      <c r="J13" s="9">
        <v>0.5</v>
      </c>
      <c r="K13" s="5">
        <v>2642</v>
      </c>
      <c r="L13" s="5">
        <v>14299</v>
      </c>
      <c r="M13" s="5">
        <f t="shared" ref="M13:M41" si="10">SUM(AF13:AG13)</f>
        <v>4447.0138217522654</v>
      </c>
      <c r="N13" s="5">
        <f t="shared" ref="N13:N41" si="11">SUM(AH13:AI13)</f>
        <v>8409.9205438066456</v>
      </c>
      <c r="O13">
        <f t="shared" ref="O13:O41" si="12">SUM(AL13:AM13)</f>
        <v>7250.7489223564971</v>
      </c>
      <c r="P13">
        <f t="shared" ref="P13:P41" si="13">SUM(AB13:AC13)</f>
        <v>1663.6586102719034</v>
      </c>
      <c r="Q13">
        <f t="shared" ref="Q13:Q41" si="14">SUM(AD13:AE13)</f>
        <v>473.09848942598182</v>
      </c>
      <c r="R13">
        <f t="shared" ref="R13:R41" si="15">SUM(Z13:AA13)</f>
        <v>509.44641238670687</v>
      </c>
      <c r="S13">
        <f t="shared" ref="S13:S41" si="16">SUM(AJ13:AK13)</f>
        <v>5821.6</v>
      </c>
      <c r="T13" s="5">
        <v>345494</v>
      </c>
      <c r="U13" s="5">
        <v>89447</v>
      </c>
      <c r="V13" s="5">
        <v>35475</v>
      </c>
      <c r="W13" s="9">
        <f t="shared" si="2"/>
        <v>470416</v>
      </c>
      <c r="Y13" s="2">
        <f t="shared" si="9"/>
        <v>42874.486799999999</v>
      </c>
      <c r="Z13">
        <v>251.08772658610269</v>
      </c>
      <c r="AA13">
        <v>258.35868580060418</v>
      </c>
      <c r="AB13">
        <v>739.69108761329312</v>
      </c>
      <c r="AC13">
        <v>923.96752265861028</v>
      </c>
      <c r="AD13">
        <v>223.82114803625376</v>
      </c>
      <c r="AE13">
        <v>249.27734138972809</v>
      </c>
      <c r="AF13">
        <v>2118.8314954682778</v>
      </c>
      <c r="AG13">
        <v>2328.182326283988</v>
      </c>
      <c r="AH13">
        <v>4013.0123867069483</v>
      </c>
      <c r="AI13">
        <v>4396.9081570996977</v>
      </c>
      <c r="AJ13">
        <v>2451.2000000000003</v>
      </c>
      <c r="AK13">
        <v>3370.4</v>
      </c>
      <c r="AL13">
        <v>3401.2666716012095</v>
      </c>
      <c r="AM13">
        <v>3849.4822507552872</v>
      </c>
      <c r="AO13" s="9">
        <f t="shared" si="3"/>
        <v>1.0142722748413082</v>
      </c>
      <c r="AP13" s="9">
        <f t="shared" si="4"/>
        <v>1.1107657748455975</v>
      </c>
      <c r="AQ13" s="9">
        <f t="shared" si="5"/>
        <v>1.0538073866698683</v>
      </c>
      <c r="AR13" s="9">
        <f t="shared" si="6"/>
        <v>1.0470767214150956</v>
      </c>
      <c r="AS13" s="9">
        <f t="shared" si="7"/>
        <v>1.0456479663979066</v>
      </c>
      <c r="AT13" s="9">
        <f t="shared" si="8"/>
        <v>1.1578947368421053</v>
      </c>
      <c r="AU13" s="9">
        <f t="shared" si="1"/>
        <v>1.0618164528869669</v>
      </c>
    </row>
    <row r="14" spans="1:47" ht="15.75">
      <c r="A14" s="5">
        <v>10</v>
      </c>
      <c r="B14" s="9">
        <v>2020</v>
      </c>
      <c r="C14" s="9" t="s">
        <v>4</v>
      </c>
      <c r="D14" s="9" t="s">
        <v>39</v>
      </c>
      <c r="E14" s="7" t="s">
        <v>6</v>
      </c>
      <c r="F14" s="7" t="s">
        <v>7</v>
      </c>
      <c r="G14" s="7" t="s">
        <v>8</v>
      </c>
      <c r="H14" s="7" t="s">
        <v>9</v>
      </c>
      <c r="I14" s="9" t="s">
        <v>45</v>
      </c>
      <c r="J14" s="9">
        <v>0.8</v>
      </c>
      <c r="K14" s="5">
        <v>2812</v>
      </c>
      <c r="L14" s="5">
        <v>14229</v>
      </c>
      <c r="M14" s="5">
        <f t="shared" si="10"/>
        <v>4405.1436555891232</v>
      </c>
      <c r="N14" s="5">
        <f t="shared" si="11"/>
        <v>8333.1413897280963</v>
      </c>
      <c r="O14">
        <f t="shared" si="12"/>
        <v>7115.6127818731075</v>
      </c>
      <c r="P14">
        <f t="shared" si="13"/>
        <v>1617.5895015105741</v>
      </c>
      <c r="Q14">
        <f t="shared" si="14"/>
        <v>468.00725075528698</v>
      </c>
      <c r="R14">
        <f t="shared" si="15"/>
        <v>507.99222054380658</v>
      </c>
      <c r="S14">
        <f t="shared" si="16"/>
        <v>6128.0000000000073</v>
      </c>
      <c r="T14" s="5">
        <v>340467</v>
      </c>
      <c r="U14" s="5">
        <v>89447</v>
      </c>
      <c r="V14" s="5">
        <v>35475</v>
      </c>
      <c r="W14" s="9">
        <f t="shared" si="2"/>
        <v>465389</v>
      </c>
      <c r="Y14" s="2">
        <f t="shared" si="9"/>
        <v>42804.486800000006</v>
      </c>
      <c r="Z14">
        <v>251.08772658610269</v>
      </c>
      <c r="AA14">
        <v>256.90449395770389</v>
      </c>
      <c r="AB14">
        <v>693.62197885196383</v>
      </c>
      <c r="AC14">
        <v>923.96752265861028</v>
      </c>
      <c r="AD14">
        <v>223.82114803625376</v>
      </c>
      <c r="AE14">
        <v>244.18610271903322</v>
      </c>
      <c r="AF14">
        <v>2118.8314954682778</v>
      </c>
      <c r="AG14">
        <v>2286.3121601208459</v>
      </c>
      <c r="AH14">
        <v>4013.0123867069483</v>
      </c>
      <c r="AI14">
        <v>4320.1290030211476</v>
      </c>
      <c r="AJ14">
        <v>2768.1489562904062</v>
      </c>
      <c r="AK14">
        <v>3359.8510437096015</v>
      </c>
      <c r="AL14">
        <v>3301.0957326283988</v>
      </c>
      <c r="AM14">
        <v>3814.5170492447082</v>
      </c>
      <c r="AO14" s="9">
        <f t="shared" si="3"/>
        <v>1.0114505048234288</v>
      </c>
      <c r="AP14" s="9">
        <f t="shared" si="4"/>
        <v>1.1424004938159773</v>
      </c>
      <c r="AQ14" s="9">
        <f t="shared" si="5"/>
        <v>1.0435141862650925</v>
      </c>
      <c r="AR14" s="9">
        <f t="shared" si="6"/>
        <v>1.0380193423295228</v>
      </c>
      <c r="AS14" s="9">
        <f t="shared" si="7"/>
        <v>1.0368548428438726</v>
      </c>
      <c r="AT14" s="9">
        <f t="shared" si="8"/>
        <v>1.0965571291480409</v>
      </c>
      <c r="AU14" s="9">
        <f t="shared" si="1"/>
        <v>1.0721541956195593</v>
      </c>
    </row>
    <row r="15" spans="1:47" ht="15.75">
      <c r="A15" s="5"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7" t="s">
        <v>7</v>
      </c>
      <c r="G15" s="7" t="s">
        <v>8</v>
      </c>
      <c r="H15" s="7" t="s">
        <v>9</v>
      </c>
      <c r="I15" s="9" t="s">
        <v>45</v>
      </c>
      <c r="J15" s="9">
        <v>0.8</v>
      </c>
      <c r="K15" s="5">
        <v>3642</v>
      </c>
      <c r="L15" s="5">
        <v>6165</v>
      </c>
      <c r="M15" s="5">
        <f t="shared" si="10"/>
        <v>5089.2924710424713</v>
      </c>
      <c r="N15" s="5">
        <f t="shared" si="11"/>
        <v>9579.5770557528922</v>
      </c>
      <c r="O15">
        <f t="shared" si="12"/>
        <v>8833.0024131274149</v>
      </c>
      <c r="P15">
        <f t="shared" si="13"/>
        <v>2324.278957528958</v>
      </c>
      <c r="Q15">
        <f t="shared" si="14"/>
        <v>551.19691119691106</v>
      </c>
      <c r="R15">
        <f t="shared" si="15"/>
        <v>524.30135135135129</v>
      </c>
      <c r="S15">
        <f t="shared" si="16"/>
        <v>6128</v>
      </c>
      <c r="T15" s="5">
        <v>328503</v>
      </c>
      <c r="U15" s="5">
        <v>47021</v>
      </c>
      <c r="V15" s="5">
        <v>71932</v>
      </c>
      <c r="W15" s="9">
        <f t="shared" si="2"/>
        <v>447456</v>
      </c>
      <c r="Y15" s="2">
        <f t="shared" si="9"/>
        <v>39194.649160000001</v>
      </c>
      <c r="Z15">
        <v>260.30135135135134</v>
      </c>
      <c r="AA15">
        <v>264</v>
      </c>
      <c r="AB15">
        <v>1044.3875482625483</v>
      </c>
      <c r="AC15">
        <v>1279.8914092664095</v>
      </c>
      <c r="AD15">
        <v>262.58532818532814</v>
      </c>
      <c r="AE15">
        <v>288.61158301158298</v>
      </c>
      <c r="AF15">
        <v>2437.6267374517374</v>
      </c>
      <c r="AG15">
        <v>2651.6657335907339</v>
      </c>
      <c r="AH15">
        <v>4589.4832333590703</v>
      </c>
      <c r="AI15">
        <v>4990.0938223938219</v>
      </c>
      <c r="AJ15">
        <v>2768.1489562904085</v>
      </c>
      <c r="AK15">
        <v>3359.8510437095911</v>
      </c>
      <c r="AL15">
        <v>4136.1677123552126</v>
      </c>
      <c r="AM15">
        <v>4696.8347007722014</v>
      </c>
      <c r="AO15" s="9">
        <f t="shared" si="3"/>
        <v>1.0070544327973134</v>
      </c>
      <c r="AP15" s="9">
        <f t="shared" si="4"/>
        <v>1.1013234062292743</v>
      </c>
      <c r="AQ15" s="9">
        <f t="shared" si="5"/>
        <v>1.0472177080414684</v>
      </c>
      <c r="AR15" s="9">
        <f t="shared" si="6"/>
        <v>1.0420567293699183</v>
      </c>
      <c r="AS15" s="9">
        <f t="shared" si="7"/>
        <v>1.0418192355156399</v>
      </c>
      <c r="AT15" s="9">
        <f t="shared" si="8"/>
        <v>1.0965571291480389</v>
      </c>
      <c r="AU15" s="9">
        <f t="shared" si="1"/>
        <v>1.0634741124471716</v>
      </c>
    </row>
    <row r="16" spans="1:47" ht="15.75">
      <c r="A16" s="5"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5" t="s">
        <v>48</v>
      </c>
      <c r="G16" s="7" t="s">
        <v>8</v>
      </c>
      <c r="H16" s="7" t="s">
        <v>9</v>
      </c>
      <c r="I16" s="9" t="s">
        <v>45</v>
      </c>
      <c r="J16" s="9">
        <v>0.8</v>
      </c>
      <c r="K16" s="5">
        <v>3360</v>
      </c>
      <c r="L16" s="5">
        <v>6165</v>
      </c>
      <c r="M16" s="5">
        <f t="shared" si="10"/>
        <v>6123.9999999999964</v>
      </c>
      <c r="N16" s="5">
        <f t="shared" si="11"/>
        <v>9216.0073167145929</v>
      </c>
      <c r="O16">
        <f t="shared" si="12"/>
        <v>8366.3772197332746</v>
      </c>
      <c r="P16">
        <f t="shared" si="13"/>
        <v>2147.6510617760619</v>
      </c>
      <c r="Q16">
        <f t="shared" si="14"/>
        <v>525.17065637065639</v>
      </c>
      <c r="R16">
        <f t="shared" si="15"/>
        <v>522.44290540540533</v>
      </c>
      <c r="S16">
        <f t="shared" si="16"/>
        <v>6128.0000000000109</v>
      </c>
      <c r="T16" s="5">
        <v>314065</v>
      </c>
      <c r="U16" s="5">
        <v>47021</v>
      </c>
      <c r="V16" s="5">
        <v>71932</v>
      </c>
      <c r="W16" s="9">
        <f t="shared" si="2"/>
        <v>433018</v>
      </c>
      <c r="Y16" s="2">
        <f t="shared" si="9"/>
        <v>39194.649160000001</v>
      </c>
      <c r="Z16">
        <v>258.44290540540538</v>
      </c>
      <c r="AA16">
        <v>264</v>
      </c>
      <c r="AB16">
        <v>926.63561776061783</v>
      </c>
      <c r="AC16">
        <v>1221.015444015444</v>
      </c>
      <c r="AD16">
        <v>249.57220077220074</v>
      </c>
      <c r="AE16">
        <v>275.59845559845559</v>
      </c>
      <c r="AF16">
        <v>2755.7999999999961</v>
      </c>
      <c r="AG16">
        <v>3368.2000000000003</v>
      </c>
      <c r="AH16">
        <v>4401.3548262548256</v>
      </c>
      <c r="AI16">
        <v>4814.6524904597682</v>
      </c>
      <c r="AJ16">
        <v>2768.1489562904071</v>
      </c>
      <c r="AK16">
        <v>3359.8510437096033</v>
      </c>
      <c r="AL16">
        <v>3855.8342181467183</v>
      </c>
      <c r="AM16">
        <v>4510.5430015865559</v>
      </c>
      <c r="AO16" s="9">
        <f t="shared" si="3"/>
        <v>1.0106367500392841</v>
      </c>
      <c r="AP16" s="9">
        <f t="shared" si="4"/>
        <v>1.1370706030854847</v>
      </c>
      <c r="AQ16" s="9">
        <f t="shared" si="5"/>
        <v>1.0495577094998352</v>
      </c>
      <c r="AR16" s="9">
        <f t="shared" si="6"/>
        <v>1.1000000000000008</v>
      </c>
      <c r="AS16" s="9">
        <f t="shared" si="7"/>
        <v>1.0448456310853147</v>
      </c>
      <c r="AT16" s="9">
        <f t="shared" si="8"/>
        <v>1.0965571291480409</v>
      </c>
      <c r="AU16" s="9">
        <f t="shared" si="1"/>
        <v>1.0782547530722872</v>
      </c>
    </row>
    <row r="17" spans="1:47" ht="15.75">
      <c r="A17" s="5"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5" t="s">
        <v>59</v>
      </c>
      <c r="G17" s="7" t="s">
        <v>8</v>
      </c>
      <c r="H17" s="7" t="s">
        <v>9</v>
      </c>
      <c r="I17" s="9" t="s">
        <v>45</v>
      </c>
      <c r="J17" s="9">
        <v>0.8</v>
      </c>
      <c r="K17" s="5">
        <v>3128</v>
      </c>
      <c r="L17" s="5">
        <v>6165</v>
      </c>
      <c r="M17" s="5">
        <f t="shared" si="10"/>
        <v>4714.7242277992282</v>
      </c>
      <c r="N17" s="5">
        <f t="shared" si="11"/>
        <v>11503.999999999985</v>
      </c>
      <c r="O17">
        <f t="shared" si="12"/>
        <v>7851.835183397684</v>
      </c>
      <c r="P17">
        <f t="shared" si="13"/>
        <v>1869.0918646332148</v>
      </c>
      <c r="Q17">
        <f t="shared" si="14"/>
        <v>505.59907335907337</v>
      </c>
      <c r="R17">
        <f t="shared" si="15"/>
        <v>516.88581081081077</v>
      </c>
      <c r="S17">
        <f t="shared" si="16"/>
        <v>6128.0000000000055</v>
      </c>
      <c r="T17" s="5">
        <v>301614</v>
      </c>
      <c r="U17" s="5">
        <v>47021</v>
      </c>
      <c r="V17" s="5">
        <v>71932</v>
      </c>
      <c r="W17" s="9">
        <f t="shared" si="2"/>
        <v>420567</v>
      </c>
      <c r="Y17" s="2">
        <f t="shared" si="9"/>
        <v>39255.136160000002</v>
      </c>
      <c r="Z17">
        <v>254.72601351351349</v>
      </c>
      <c r="AA17">
        <v>262.15979729729725</v>
      </c>
      <c r="AB17">
        <v>808.88368725868736</v>
      </c>
      <c r="AC17">
        <v>1060.2081773745274</v>
      </c>
      <c r="AD17">
        <v>236.55907335907335</v>
      </c>
      <c r="AE17">
        <v>269.04000000000002</v>
      </c>
      <c r="AF17">
        <v>2223.5877413127414</v>
      </c>
      <c r="AG17">
        <v>2491.1364864864868</v>
      </c>
      <c r="AH17">
        <v>5176.7999999999847</v>
      </c>
      <c r="AI17">
        <v>6327.2000000000007</v>
      </c>
      <c r="AJ17">
        <v>2768.1489562904048</v>
      </c>
      <c r="AK17">
        <v>3359.8510437096006</v>
      </c>
      <c r="AL17">
        <v>3575.5007239382239</v>
      </c>
      <c r="AM17">
        <v>4276.33445945946</v>
      </c>
      <c r="AO17" s="9">
        <f t="shared" si="3"/>
        <v>1.0143818685448587</v>
      </c>
      <c r="AP17" s="9">
        <f t="shared" si="4"/>
        <v>1.1344634230512578</v>
      </c>
      <c r="AQ17" s="9">
        <f t="shared" si="5"/>
        <v>1.064242456824795</v>
      </c>
      <c r="AR17" s="9">
        <f t="shared" si="6"/>
        <v>1.0567474855891272</v>
      </c>
      <c r="AS17" s="9">
        <f t="shared" si="7"/>
        <v>1.1000000000000014</v>
      </c>
      <c r="AT17" s="9">
        <f t="shared" si="8"/>
        <v>1.0965571291480409</v>
      </c>
      <c r="AU17" s="9">
        <f t="shared" si="1"/>
        <v>1.0892573161753465</v>
      </c>
    </row>
    <row r="18" spans="1:47" ht="15.75">
      <c r="A18" s="5">
        <v>14</v>
      </c>
      <c r="B18" s="9">
        <v>2020</v>
      </c>
      <c r="C18" s="9" t="s">
        <v>4</v>
      </c>
      <c r="D18" s="9" t="s">
        <v>5</v>
      </c>
      <c r="E18" s="7" t="s">
        <v>6</v>
      </c>
      <c r="F18" s="5" t="s">
        <v>60</v>
      </c>
      <c r="G18" s="7" t="s">
        <v>8</v>
      </c>
      <c r="H18" s="7" t="s">
        <v>9</v>
      </c>
      <c r="I18" s="9" t="s">
        <v>45</v>
      </c>
      <c r="J18" s="9">
        <v>0.8</v>
      </c>
      <c r="K18" s="5">
        <v>3263</v>
      </c>
      <c r="L18" s="5">
        <v>6165</v>
      </c>
      <c r="M18" s="5">
        <f t="shared" si="10"/>
        <v>4500.6852316602317</v>
      </c>
      <c r="N18" s="5">
        <f t="shared" si="11"/>
        <v>8583.8724051737081</v>
      </c>
      <c r="O18">
        <f t="shared" si="12"/>
        <v>11210.000000000022</v>
      </c>
      <c r="P18">
        <f t="shared" si="13"/>
        <v>1676.64333976834</v>
      </c>
      <c r="Q18">
        <f t="shared" si="14"/>
        <v>479.62471042471043</v>
      </c>
      <c r="R18">
        <f t="shared" si="15"/>
        <v>511.31047297297295</v>
      </c>
      <c r="S18">
        <f t="shared" si="16"/>
        <v>6128.0000000000127</v>
      </c>
      <c r="T18" s="5">
        <v>302329</v>
      </c>
      <c r="U18" s="5">
        <v>47021</v>
      </c>
      <c r="V18" s="5">
        <v>71932</v>
      </c>
      <c r="W18" s="9">
        <f t="shared" si="2"/>
        <v>421282</v>
      </c>
      <c r="Y18" s="2">
        <f t="shared" si="9"/>
        <v>39255.136160000002</v>
      </c>
      <c r="Z18">
        <v>251.0091216216216</v>
      </c>
      <c r="AA18">
        <v>260.30135135135134</v>
      </c>
      <c r="AB18">
        <v>691.13175675675677</v>
      </c>
      <c r="AC18">
        <v>985.51158301158307</v>
      </c>
      <c r="AD18">
        <v>223.54594594594593</v>
      </c>
      <c r="AE18">
        <v>256.07876447876447</v>
      </c>
      <c r="AF18">
        <v>2116.5682432432432</v>
      </c>
      <c r="AG18">
        <v>2384.1169884169885</v>
      </c>
      <c r="AH18">
        <v>4084.3944128957164</v>
      </c>
      <c r="AI18">
        <v>4499.4779922779917</v>
      </c>
      <c r="AJ18">
        <v>2768.1489562904057</v>
      </c>
      <c r="AK18">
        <v>3359.8510437096074</v>
      </c>
      <c r="AL18">
        <v>5045.0000000000227</v>
      </c>
      <c r="AM18">
        <v>6165</v>
      </c>
      <c r="AO18" s="9">
        <f t="shared" si="3"/>
        <v>1.0181733608461037</v>
      </c>
      <c r="AP18" s="9">
        <f t="shared" si="4"/>
        <v>1.1755768918006737</v>
      </c>
      <c r="AQ18" s="9">
        <f t="shared" si="5"/>
        <v>1.0678297381801085</v>
      </c>
      <c r="AR18" s="9">
        <f t="shared" si="6"/>
        <v>1.0594462246085694</v>
      </c>
      <c r="AS18" s="9">
        <f t="shared" si="7"/>
        <v>1.0483562149796279</v>
      </c>
      <c r="AT18" s="9">
        <f t="shared" si="8"/>
        <v>1.0965571291480418</v>
      </c>
      <c r="AU18" s="9">
        <f t="shared" si="1"/>
        <v>1.0999107939339854</v>
      </c>
    </row>
    <row r="19" spans="1:47" ht="15.75">
      <c r="A19" s="5">
        <v>15</v>
      </c>
      <c r="B19" s="9">
        <v>2020</v>
      </c>
      <c r="C19" s="9" t="s">
        <v>4</v>
      </c>
      <c r="D19" s="9" t="s">
        <v>5</v>
      </c>
      <c r="E19" s="7" t="s">
        <v>6</v>
      </c>
      <c r="F19" s="5" t="s">
        <v>68</v>
      </c>
      <c r="G19" s="7" t="s">
        <v>8</v>
      </c>
      <c r="H19" s="7" t="s">
        <v>9</v>
      </c>
      <c r="I19" s="9" t="s">
        <v>45</v>
      </c>
      <c r="J19" s="9">
        <v>0.8</v>
      </c>
      <c r="K19" s="5">
        <v>3517</v>
      </c>
      <c r="L19" s="5">
        <v>6165</v>
      </c>
      <c r="M19" s="5">
        <f t="shared" si="10"/>
        <v>4928.7632239382237</v>
      </c>
      <c r="N19" s="5">
        <f t="shared" si="11"/>
        <v>9293.3254826254815</v>
      </c>
      <c r="O19">
        <f t="shared" si="12"/>
        <v>8411.94689166022</v>
      </c>
      <c r="P19">
        <f t="shared" si="13"/>
        <v>3219.9999999999982</v>
      </c>
      <c r="Q19">
        <f t="shared" si="14"/>
        <v>525.17065637065639</v>
      </c>
      <c r="R19">
        <f t="shared" si="15"/>
        <v>522.44290540540533</v>
      </c>
      <c r="S19">
        <f t="shared" si="16"/>
        <v>6128.0000000000146</v>
      </c>
      <c r="T19" s="5">
        <v>320769</v>
      </c>
      <c r="U19" s="5">
        <v>47021</v>
      </c>
      <c r="V19" s="5">
        <v>71932</v>
      </c>
      <c r="W19" s="9">
        <f t="shared" si="2"/>
        <v>439722</v>
      </c>
      <c r="Y19" s="2">
        <f t="shared" si="9"/>
        <v>39194.649160000001</v>
      </c>
      <c r="Z19">
        <v>258.44290540540538</v>
      </c>
      <c r="AA19">
        <v>264</v>
      </c>
      <c r="AB19">
        <v>1509.0499999999981</v>
      </c>
      <c r="AC19">
        <v>1710.95</v>
      </c>
      <c r="AD19">
        <v>249.57220077220074</v>
      </c>
      <c r="AE19">
        <v>275.59845559845559</v>
      </c>
      <c r="AF19">
        <v>2330.6072393822396</v>
      </c>
      <c r="AG19">
        <v>2598.1559845559846</v>
      </c>
      <c r="AH19">
        <v>4401.3548262548256</v>
      </c>
      <c r="AI19">
        <v>4891.9706563706559</v>
      </c>
      <c r="AJ19">
        <v>2768.1489562904085</v>
      </c>
      <c r="AK19">
        <v>3359.8510437096056</v>
      </c>
      <c r="AL19">
        <v>3855.8342181467183</v>
      </c>
      <c r="AM19">
        <v>4556.1126735135012</v>
      </c>
      <c r="AO19" s="9">
        <f t="shared" si="3"/>
        <v>1.0106367500392841</v>
      </c>
      <c r="AP19" s="9">
        <f t="shared" si="4"/>
        <v>1.0627018633540379</v>
      </c>
      <c r="AQ19" s="9">
        <f t="shared" si="5"/>
        <v>1.0495577094998352</v>
      </c>
      <c r="AR19" s="9">
        <f t="shared" si="6"/>
        <v>1.0542831402154405</v>
      </c>
      <c r="AS19" s="9">
        <f t="shared" si="7"/>
        <v>1.0527922788277533</v>
      </c>
      <c r="AT19" s="9">
        <f t="shared" si="8"/>
        <v>1.0965571291480409</v>
      </c>
      <c r="AU19" s="9">
        <f t="shared" si="1"/>
        <v>1.083248083277969</v>
      </c>
    </row>
    <row r="20" spans="1:47" ht="15.75">
      <c r="A20" s="5">
        <v>16</v>
      </c>
      <c r="B20" s="9">
        <v>2020</v>
      </c>
      <c r="C20" s="9" t="s">
        <v>4</v>
      </c>
      <c r="D20" s="9" t="s">
        <v>5</v>
      </c>
      <c r="E20" s="7" t="s">
        <v>6</v>
      </c>
      <c r="F20" s="5" t="s">
        <v>69</v>
      </c>
      <c r="G20" s="7" t="s">
        <v>8</v>
      </c>
      <c r="H20" s="7" t="s">
        <v>9</v>
      </c>
      <c r="I20" s="9" t="s">
        <v>45</v>
      </c>
      <c r="J20" s="9">
        <v>0.8</v>
      </c>
      <c r="K20" s="5">
        <v>3642</v>
      </c>
      <c r="L20" s="5">
        <v>6165</v>
      </c>
      <c r="M20" s="5">
        <f t="shared" si="10"/>
        <v>5089.2924710424713</v>
      </c>
      <c r="N20" s="5">
        <f t="shared" si="11"/>
        <v>9575.8784071042355</v>
      </c>
      <c r="O20">
        <f t="shared" si="12"/>
        <v>8833.0024131274149</v>
      </c>
      <c r="P20">
        <f t="shared" si="13"/>
        <v>2324.278957528958</v>
      </c>
      <c r="Q20">
        <f t="shared" si="14"/>
        <v>551.19691119691106</v>
      </c>
      <c r="R20">
        <f t="shared" si="15"/>
        <v>528</v>
      </c>
      <c r="S20">
        <f t="shared" si="16"/>
        <v>6128.0000000000073</v>
      </c>
      <c r="T20" s="5">
        <v>327263</v>
      </c>
      <c r="U20" s="5">
        <v>47021</v>
      </c>
      <c r="V20" s="5">
        <v>71932</v>
      </c>
      <c r="W20" s="9">
        <f t="shared" si="2"/>
        <v>446216</v>
      </c>
      <c r="Y20" s="2">
        <f t="shared" si="9"/>
        <v>39194.649159999994</v>
      </c>
      <c r="Z20">
        <v>264</v>
      </c>
      <c r="AA20">
        <v>264</v>
      </c>
      <c r="AB20">
        <v>1044.3875482625483</v>
      </c>
      <c r="AC20">
        <v>1279.8914092664095</v>
      </c>
      <c r="AD20">
        <v>262.58532818532814</v>
      </c>
      <c r="AE20">
        <v>288.61158301158298</v>
      </c>
      <c r="AF20">
        <v>2437.6267374517374</v>
      </c>
      <c r="AG20">
        <v>2651.6657335907339</v>
      </c>
      <c r="AH20">
        <v>4585.7845847104145</v>
      </c>
      <c r="AI20">
        <v>4990.0938223938219</v>
      </c>
      <c r="AJ20">
        <v>2768.1489562904067</v>
      </c>
      <c r="AK20">
        <v>3359.8510437096011</v>
      </c>
      <c r="AL20">
        <v>4136.1677123552126</v>
      </c>
      <c r="AM20">
        <v>4696.8347007722014</v>
      </c>
      <c r="AO20" s="9">
        <f t="shared" si="3"/>
        <v>1</v>
      </c>
      <c r="AP20" s="9">
        <f t="shared" si="4"/>
        <v>1.1013234062292743</v>
      </c>
      <c r="AQ20" s="9">
        <f t="shared" si="5"/>
        <v>1.0472177080414684</v>
      </c>
      <c r="AR20" s="9">
        <f t="shared" si="6"/>
        <v>1.0420567293699183</v>
      </c>
      <c r="AS20" s="9">
        <f t="shared" si="7"/>
        <v>1.0422216344542821</v>
      </c>
      <c r="AT20" s="9">
        <f t="shared" si="8"/>
        <v>1.0965571291480409</v>
      </c>
      <c r="AU20" s="9">
        <f t="shared" si="1"/>
        <v>1.0634741124471716</v>
      </c>
    </row>
    <row r="21" spans="1:47" ht="15.75">
      <c r="A21" s="5">
        <v>17</v>
      </c>
      <c r="B21" s="9">
        <v>2020</v>
      </c>
      <c r="C21" s="9" t="s">
        <v>4</v>
      </c>
      <c r="D21" s="9" t="s">
        <v>5</v>
      </c>
      <c r="E21" s="7" t="s">
        <v>6</v>
      </c>
      <c r="F21" s="5" t="s">
        <v>70</v>
      </c>
      <c r="G21" s="7" t="s">
        <v>8</v>
      </c>
      <c r="H21" s="7" t="s">
        <v>9</v>
      </c>
      <c r="I21" s="9" t="s">
        <v>45</v>
      </c>
      <c r="J21" s="9">
        <v>0.8</v>
      </c>
      <c r="K21" s="5">
        <v>3595</v>
      </c>
      <c r="L21" s="5">
        <v>6165</v>
      </c>
      <c r="M21" s="5">
        <f t="shared" si="10"/>
        <v>5089.2924710424713</v>
      </c>
      <c r="N21" s="5">
        <f t="shared" si="11"/>
        <v>9489.5718146718136</v>
      </c>
      <c r="O21">
        <f t="shared" si="12"/>
        <v>8802.2045654053982</v>
      </c>
      <c r="P21">
        <f t="shared" si="13"/>
        <v>2324.278957528958</v>
      </c>
      <c r="Q21">
        <f t="shared" si="14"/>
        <v>672</v>
      </c>
      <c r="R21">
        <f t="shared" si="15"/>
        <v>524.30135135135129</v>
      </c>
      <c r="S21">
        <f t="shared" si="16"/>
        <v>6128.0000000000055</v>
      </c>
      <c r="T21" s="5">
        <v>326933</v>
      </c>
      <c r="U21" s="5">
        <v>47021</v>
      </c>
      <c r="V21" s="5">
        <v>71932</v>
      </c>
      <c r="W21" s="9">
        <f t="shared" si="2"/>
        <v>445886</v>
      </c>
      <c r="Y21" s="2">
        <f t="shared" si="9"/>
        <v>39194.649160000001</v>
      </c>
      <c r="Z21">
        <v>260.30135135135134</v>
      </c>
      <c r="AA21">
        <v>264</v>
      </c>
      <c r="AB21">
        <v>1044.3875482625483</v>
      </c>
      <c r="AC21">
        <v>1279.8914092664095</v>
      </c>
      <c r="AD21">
        <v>335.7</v>
      </c>
      <c r="AE21">
        <v>336.3</v>
      </c>
      <c r="AF21">
        <v>2437.6267374517374</v>
      </c>
      <c r="AG21">
        <v>2651.6657335907339</v>
      </c>
      <c r="AH21">
        <v>4499.4779922779917</v>
      </c>
      <c r="AI21">
        <v>4990.0938223938219</v>
      </c>
      <c r="AJ21">
        <v>2768.1489562904057</v>
      </c>
      <c r="AK21">
        <v>3359.8510437095997</v>
      </c>
      <c r="AL21">
        <v>4105.3698646331968</v>
      </c>
      <c r="AM21">
        <v>4696.8347007722014</v>
      </c>
      <c r="AO21" s="9">
        <f t="shared" si="3"/>
        <v>1.0070544327973134</v>
      </c>
      <c r="AP21" s="9">
        <f t="shared" si="4"/>
        <v>1.1013234062292743</v>
      </c>
      <c r="AQ21" s="9">
        <f t="shared" si="5"/>
        <v>1.0008928571428573</v>
      </c>
      <c r="AR21" s="9">
        <f t="shared" si="6"/>
        <v>1.0420567293699183</v>
      </c>
      <c r="AS21" s="9">
        <f t="shared" si="7"/>
        <v>1.0517005234479906</v>
      </c>
      <c r="AT21" s="9">
        <f t="shared" si="8"/>
        <v>1.0965571291480407</v>
      </c>
      <c r="AU21" s="9">
        <f t="shared" si="1"/>
        <v>1.0671950795671792</v>
      </c>
    </row>
    <row r="22" spans="1:47" ht="15.75">
      <c r="A22" s="5">
        <v>18</v>
      </c>
      <c r="B22" s="9">
        <v>2020</v>
      </c>
      <c r="C22" s="9" t="s">
        <v>4</v>
      </c>
      <c r="D22" s="9" t="s">
        <v>39</v>
      </c>
      <c r="E22" s="7" t="s">
        <v>6</v>
      </c>
      <c r="F22" s="5" t="s">
        <v>48</v>
      </c>
      <c r="G22" s="7" t="s">
        <v>8</v>
      </c>
      <c r="H22" s="7" t="s">
        <v>9</v>
      </c>
      <c r="I22" s="9" t="s">
        <v>45</v>
      </c>
      <c r="J22" s="9">
        <v>0.8</v>
      </c>
      <c r="K22" s="5">
        <v>2972</v>
      </c>
      <c r="L22" s="5">
        <v>14299</v>
      </c>
      <c r="M22" s="5">
        <f t="shared" si="10"/>
        <v>6124.0000000000055</v>
      </c>
      <c r="N22" s="5">
        <f t="shared" si="11"/>
        <v>8026.0247734138975</v>
      </c>
      <c r="O22">
        <f t="shared" si="12"/>
        <v>6602.1914652567975</v>
      </c>
      <c r="P22">
        <f t="shared" si="13"/>
        <v>1397.6418995037734</v>
      </c>
      <c r="Q22">
        <f t="shared" si="14"/>
        <v>447.64229607250752</v>
      </c>
      <c r="R22">
        <f t="shared" si="15"/>
        <v>502.17545317220538</v>
      </c>
      <c r="S22">
        <f t="shared" si="16"/>
        <v>5536.2979125808151</v>
      </c>
      <c r="T22" s="5">
        <v>332973</v>
      </c>
      <c r="U22" s="5">
        <v>89477</v>
      </c>
      <c r="V22" s="5">
        <v>35475</v>
      </c>
      <c r="W22" s="9">
        <f t="shared" si="2"/>
        <v>457925</v>
      </c>
      <c r="Y22" s="2">
        <f t="shared" si="9"/>
        <v>42934.973800000007</v>
      </c>
      <c r="Z22">
        <v>248.17934290030209</v>
      </c>
      <c r="AA22">
        <v>253.99611027190329</v>
      </c>
      <c r="AB22">
        <v>601.48376132930514</v>
      </c>
      <c r="AC22">
        <v>796.15813817446815</v>
      </c>
      <c r="AD22">
        <v>213.63867069486403</v>
      </c>
      <c r="AE22">
        <v>234.00362537764349</v>
      </c>
      <c r="AF22">
        <v>2755.8000000000056</v>
      </c>
      <c r="AG22">
        <v>3368.2000000000003</v>
      </c>
      <c r="AH22">
        <v>3859.4540785498489</v>
      </c>
      <c r="AI22">
        <v>4166.5706948640482</v>
      </c>
      <c r="AJ22">
        <v>2768.1489562904089</v>
      </c>
      <c r="AK22">
        <v>2768.1489562904062</v>
      </c>
      <c r="AL22">
        <v>3081.7411253776436</v>
      </c>
      <c r="AM22">
        <v>3520.4503398791539</v>
      </c>
      <c r="AO22" s="9">
        <f t="shared" si="3"/>
        <v>1.0115831375963462</v>
      </c>
      <c r="AP22" s="9">
        <f t="shared" si="4"/>
        <v>1.139287736661502</v>
      </c>
      <c r="AQ22" s="9">
        <f t="shared" si="5"/>
        <v>1.0454938124959505</v>
      </c>
      <c r="AR22" s="9">
        <f t="shared" si="6"/>
        <v>1.0999999999999992</v>
      </c>
      <c r="AS22" s="9">
        <f t="shared" si="7"/>
        <v>1.038265096979456</v>
      </c>
      <c r="AT22" s="9">
        <f t="shared" si="8"/>
        <v>0.99999999999999956</v>
      </c>
      <c r="AU22" s="9">
        <f t="shared" si="1"/>
        <v>1.0664490293579281</v>
      </c>
    </row>
    <row r="23" spans="1:47" ht="15.75">
      <c r="A23" s="5">
        <v>19</v>
      </c>
      <c r="B23" s="9">
        <v>2020</v>
      </c>
      <c r="C23" s="9" t="s">
        <v>4</v>
      </c>
      <c r="D23" s="9" t="s">
        <v>39</v>
      </c>
      <c r="E23" s="7" t="s">
        <v>6</v>
      </c>
      <c r="F23" s="5" t="s">
        <v>59</v>
      </c>
      <c r="G23" s="7" t="s">
        <v>8</v>
      </c>
      <c r="H23" s="7" t="s">
        <v>9</v>
      </c>
      <c r="I23" s="9" t="s">
        <v>45</v>
      </c>
      <c r="J23" s="9">
        <v>0.8</v>
      </c>
      <c r="K23" s="5">
        <v>2751</v>
      </c>
      <c r="L23" s="5">
        <v>14299</v>
      </c>
      <c r="M23" s="5">
        <f t="shared" si="10"/>
        <v>3902.7016616314199</v>
      </c>
      <c r="N23" s="5">
        <f t="shared" si="11"/>
        <v>11503.999999999967</v>
      </c>
      <c r="O23">
        <f t="shared" si="12"/>
        <v>5730.7597242772244</v>
      </c>
      <c r="P23">
        <f t="shared" si="13"/>
        <v>1064.7601963746224</v>
      </c>
      <c r="Q23">
        <f t="shared" si="14"/>
        <v>406.91238670694861</v>
      </c>
      <c r="R23">
        <f t="shared" si="15"/>
        <v>490.54191842900298</v>
      </c>
      <c r="S23">
        <f t="shared" si="16"/>
        <v>5536.297912580816</v>
      </c>
      <c r="T23" s="5">
        <v>318592</v>
      </c>
      <c r="U23" s="5">
        <v>89447</v>
      </c>
      <c r="V23" s="5">
        <v>35475</v>
      </c>
      <c r="W23" s="9">
        <f t="shared" si="2"/>
        <v>443514</v>
      </c>
      <c r="Y23" s="2">
        <f t="shared" si="9"/>
        <v>42934.973799999992</v>
      </c>
      <c r="Z23">
        <v>242.36257552870089</v>
      </c>
      <c r="AA23">
        <v>248.17934290030209</v>
      </c>
      <c r="AB23">
        <v>417.20732628398792</v>
      </c>
      <c r="AC23">
        <v>647.55287009063443</v>
      </c>
      <c r="AD23">
        <v>193.27371601208458</v>
      </c>
      <c r="AE23">
        <v>213.63867069486403</v>
      </c>
      <c r="AF23">
        <v>1867.6104984894259</v>
      </c>
      <c r="AG23">
        <v>2035.091163141994</v>
      </c>
      <c r="AH23">
        <v>5176.7999999999674</v>
      </c>
      <c r="AI23">
        <v>6327.2000000000007</v>
      </c>
      <c r="AJ23">
        <v>2768.1489562904085</v>
      </c>
      <c r="AK23">
        <v>2768.1489562904071</v>
      </c>
      <c r="AL23">
        <v>2643.0319108761328</v>
      </c>
      <c r="AM23">
        <v>3087.7278134010917</v>
      </c>
      <c r="AO23" s="9">
        <f t="shared" si="3"/>
        <v>1.0118578395710398</v>
      </c>
      <c r="AP23" s="9">
        <f t="shared" si="4"/>
        <v>1.2163356073892926</v>
      </c>
      <c r="AQ23" s="9">
        <f t="shared" si="5"/>
        <v>1.0500475172249941</v>
      </c>
      <c r="AR23" s="9">
        <f t="shared" si="6"/>
        <v>1.0429140321688226</v>
      </c>
      <c r="AS23" s="9">
        <f t="shared" si="7"/>
        <v>1.1000000000000032</v>
      </c>
      <c r="AT23" s="9">
        <f t="shared" si="8"/>
        <v>0.99999999999999967</v>
      </c>
      <c r="AU23" s="9">
        <f t="shared" si="1"/>
        <v>1.0775980714461109</v>
      </c>
    </row>
    <row r="24" spans="1:47" ht="15.75">
      <c r="A24" s="5">
        <v>20</v>
      </c>
      <c r="B24" s="9">
        <v>2020</v>
      </c>
      <c r="C24" s="9" t="s">
        <v>4</v>
      </c>
      <c r="D24" s="9" t="s">
        <v>39</v>
      </c>
      <c r="E24" s="7" t="s">
        <v>6</v>
      </c>
      <c r="F24" s="5" t="s">
        <v>60</v>
      </c>
      <c r="G24" s="7" t="s">
        <v>8</v>
      </c>
      <c r="H24" s="7" t="s">
        <v>9</v>
      </c>
      <c r="I24" s="9" t="s">
        <v>45</v>
      </c>
      <c r="J24" s="9">
        <v>0.8</v>
      </c>
      <c r="K24" s="5">
        <v>3015</v>
      </c>
      <c r="L24" s="5">
        <v>14299</v>
      </c>
      <c r="M24" s="5">
        <f t="shared" si="10"/>
        <v>3567.7403323262843</v>
      </c>
      <c r="N24" s="5">
        <f t="shared" si="11"/>
        <v>6797.5583081570994</v>
      </c>
      <c r="O24">
        <f t="shared" si="12"/>
        <v>11209.999999999982</v>
      </c>
      <c r="P24">
        <f t="shared" si="13"/>
        <v>679.28638590862693</v>
      </c>
      <c r="Q24">
        <f t="shared" si="14"/>
        <v>366.1824773413897</v>
      </c>
      <c r="R24">
        <f t="shared" si="15"/>
        <v>478.90838368580057</v>
      </c>
      <c r="S24">
        <f t="shared" si="16"/>
        <v>5536.2979125808197</v>
      </c>
      <c r="T24" s="5">
        <v>320978</v>
      </c>
      <c r="U24" s="5">
        <v>89448</v>
      </c>
      <c r="V24" s="5">
        <v>35475</v>
      </c>
      <c r="W24" s="9">
        <f t="shared" si="2"/>
        <v>445901</v>
      </c>
      <c r="Y24" s="2">
        <f t="shared" si="9"/>
        <v>42934.9738</v>
      </c>
      <c r="Z24">
        <v>238</v>
      </c>
      <c r="AA24">
        <v>240.9083836858006</v>
      </c>
      <c r="AB24">
        <v>279</v>
      </c>
      <c r="AC24">
        <v>400.28638590862687</v>
      </c>
      <c r="AD24">
        <v>178</v>
      </c>
      <c r="AE24">
        <v>188.18247734138973</v>
      </c>
      <c r="AF24">
        <v>1742</v>
      </c>
      <c r="AG24">
        <v>1825.740332326284</v>
      </c>
      <c r="AH24">
        <v>3322</v>
      </c>
      <c r="AI24">
        <v>3475.5583081570994</v>
      </c>
      <c r="AJ24">
        <v>2768.1489562904062</v>
      </c>
      <c r="AK24">
        <v>2768.148956290413</v>
      </c>
      <c r="AL24">
        <v>5044.9999999999827</v>
      </c>
      <c r="AM24">
        <v>6165</v>
      </c>
      <c r="AO24" s="9">
        <f t="shared" si="3"/>
        <v>1.0060729437714515</v>
      </c>
      <c r="AP24" s="9">
        <f t="shared" si="4"/>
        <v>1.1785497080828313</v>
      </c>
      <c r="AQ24" s="9">
        <f t="shared" si="5"/>
        <v>1.0278071124957098</v>
      </c>
      <c r="AR24" s="9">
        <f t="shared" si="6"/>
        <v>1.0234715322658257</v>
      </c>
      <c r="AS24" s="9">
        <f t="shared" si="7"/>
        <v>1.0225902156621192</v>
      </c>
      <c r="AT24" s="9">
        <f t="shared" si="8"/>
        <v>1.0000000000000011</v>
      </c>
      <c r="AU24" s="9">
        <f t="shared" si="1"/>
        <v>1.0999107939339894</v>
      </c>
    </row>
    <row r="25" spans="1:47" ht="15.75">
      <c r="A25" s="5">
        <f>A24+1</f>
        <v>21</v>
      </c>
      <c r="B25" s="9">
        <v>2020</v>
      </c>
      <c r="C25" s="9" t="s">
        <v>4</v>
      </c>
      <c r="D25" s="9" t="s">
        <v>39</v>
      </c>
      <c r="E25" s="7" t="s">
        <v>6</v>
      </c>
      <c r="F25" s="5" t="s">
        <v>68</v>
      </c>
      <c r="G25" s="7" t="s">
        <v>8</v>
      </c>
      <c r="H25" s="7" t="s">
        <v>9</v>
      </c>
      <c r="I25" s="9" t="s">
        <v>45</v>
      </c>
      <c r="J25" s="9">
        <v>0.8</v>
      </c>
      <c r="K25" s="5">
        <v>3158</v>
      </c>
      <c r="L25" s="5">
        <v>14299</v>
      </c>
      <c r="M25" s="5">
        <f t="shared" si="10"/>
        <v>4237.6629909365565</v>
      </c>
      <c r="N25" s="5">
        <f t="shared" si="11"/>
        <v>8026.0247734138975</v>
      </c>
      <c r="O25">
        <f t="shared" si="12"/>
        <v>6666.1703738240267</v>
      </c>
      <c r="P25">
        <f t="shared" si="13"/>
        <v>3219.9999999999964</v>
      </c>
      <c r="Q25">
        <f t="shared" si="14"/>
        <v>447.64229607250752</v>
      </c>
      <c r="R25">
        <f t="shared" si="15"/>
        <v>502.17545317220538</v>
      </c>
      <c r="S25">
        <f t="shared" si="16"/>
        <v>5536.2979125808179</v>
      </c>
      <c r="T25" s="5">
        <v>341426</v>
      </c>
      <c r="U25" s="5">
        <v>89448</v>
      </c>
      <c r="V25" s="5">
        <v>35475</v>
      </c>
      <c r="W25" s="9">
        <f t="shared" si="2"/>
        <v>466349</v>
      </c>
      <c r="Y25" s="2">
        <f t="shared" si="9"/>
        <v>42934.973800000007</v>
      </c>
      <c r="Z25">
        <v>248.17934290030209</v>
      </c>
      <c r="AA25">
        <v>253.99611027190329</v>
      </c>
      <c r="AB25">
        <v>1509.0499999999961</v>
      </c>
      <c r="AC25">
        <v>1710.95</v>
      </c>
      <c r="AD25">
        <v>213.63867069486403</v>
      </c>
      <c r="AE25">
        <v>234.00362537764349</v>
      </c>
      <c r="AF25">
        <v>2035.091163141994</v>
      </c>
      <c r="AG25">
        <v>2202.5718277945621</v>
      </c>
      <c r="AH25">
        <v>3859.4540785498489</v>
      </c>
      <c r="AI25">
        <v>4166.5706948640482</v>
      </c>
      <c r="AJ25">
        <v>2768.148956290408</v>
      </c>
      <c r="AK25">
        <v>2768.1489562904098</v>
      </c>
      <c r="AL25">
        <v>3081.7411253776436</v>
      </c>
      <c r="AM25">
        <v>3584.4292484463831</v>
      </c>
      <c r="AO25" s="9">
        <f t="shared" si="3"/>
        <v>1.0115831375963462</v>
      </c>
      <c r="AP25" s="9">
        <f t="shared" si="4"/>
        <v>1.0627018633540386</v>
      </c>
      <c r="AQ25" s="9">
        <f t="shared" si="5"/>
        <v>1.0454938124959505</v>
      </c>
      <c r="AR25" s="9">
        <f t="shared" si="6"/>
        <v>1.0395219405155087</v>
      </c>
      <c r="AS25" s="9">
        <f t="shared" si="7"/>
        <v>1.038265096979456</v>
      </c>
      <c r="AT25" s="9">
        <f t="shared" si="8"/>
        <v>1.0000000000000002</v>
      </c>
      <c r="AU25" s="9">
        <f t="shared" si="1"/>
        <v>1.0754088321898641</v>
      </c>
    </row>
    <row r="26" spans="1:47" ht="15.75">
      <c r="A26" s="5">
        <f>A25+1</f>
        <v>22</v>
      </c>
      <c r="B26" s="9">
        <v>2020</v>
      </c>
      <c r="C26" s="9" t="s">
        <v>4</v>
      </c>
      <c r="D26" s="9" t="s">
        <v>39</v>
      </c>
      <c r="E26" s="7" t="s">
        <v>6</v>
      </c>
      <c r="F26" s="5" t="s">
        <v>69</v>
      </c>
      <c r="G26" s="7" t="s">
        <v>8</v>
      </c>
      <c r="H26" s="7" t="s">
        <v>9</v>
      </c>
      <c r="I26" s="9" t="s">
        <v>45</v>
      </c>
      <c r="J26" s="9">
        <v>0.8</v>
      </c>
      <c r="K26" s="5">
        <v>2825</v>
      </c>
      <c r="L26" s="5">
        <v>14299</v>
      </c>
      <c r="M26" s="5">
        <f t="shared" si="10"/>
        <v>4405.1436555891232</v>
      </c>
      <c r="N26" s="5">
        <f t="shared" si="11"/>
        <v>8333.1413897280963</v>
      </c>
      <c r="O26">
        <f t="shared" si="12"/>
        <v>7095.6050024169135</v>
      </c>
      <c r="P26">
        <f t="shared" si="13"/>
        <v>1617.5895015105741</v>
      </c>
      <c r="Q26">
        <f t="shared" si="14"/>
        <v>468.00725075528698</v>
      </c>
      <c r="R26">
        <f t="shared" si="15"/>
        <v>528</v>
      </c>
      <c r="S26">
        <f t="shared" si="16"/>
        <v>6128.0000000000073</v>
      </c>
      <c r="T26" s="5">
        <v>338884</v>
      </c>
      <c r="U26" s="5">
        <v>89447</v>
      </c>
      <c r="V26" s="5">
        <v>35475</v>
      </c>
      <c r="W26" s="9">
        <f t="shared" si="2"/>
        <v>463806</v>
      </c>
      <c r="Y26" s="2">
        <f t="shared" si="9"/>
        <v>42874.486800000006</v>
      </c>
      <c r="Z26">
        <v>264</v>
      </c>
      <c r="AA26">
        <v>264</v>
      </c>
      <c r="AB26">
        <v>693.62197885196383</v>
      </c>
      <c r="AC26">
        <v>923.96752265861028</v>
      </c>
      <c r="AD26">
        <v>223.82114803625376</v>
      </c>
      <c r="AE26">
        <v>244.18610271903322</v>
      </c>
      <c r="AF26">
        <v>2118.8314954682778</v>
      </c>
      <c r="AG26">
        <v>2286.3121601208459</v>
      </c>
      <c r="AH26">
        <v>4013.0123867069483</v>
      </c>
      <c r="AI26">
        <v>4320.1290030211476</v>
      </c>
      <c r="AJ26">
        <v>2768.1489562904062</v>
      </c>
      <c r="AK26">
        <v>3359.8510437096011</v>
      </c>
      <c r="AL26">
        <v>3301.0957326283988</v>
      </c>
      <c r="AM26">
        <v>3794.5092697885148</v>
      </c>
      <c r="AO26" s="9">
        <f t="shared" si="3"/>
        <v>1</v>
      </c>
      <c r="AP26" s="9">
        <f t="shared" si="4"/>
        <v>1.1424004938159773</v>
      </c>
      <c r="AQ26" s="9">
        <f t="shared" si="5"/>
        <v>1.0435141862650925</v>
      </c>
      <c r="AR26" s="9">
        <f t="shared" si="6"/>
        <v>1.0380193423295228</v>
      </c>
      <c r="AS26" s="9">
        <f t="shared" si="7"/>
        <v>1.0368548428438726</v>
      </c>
      <c r="AT26" s="9">
        <f t="shared" si="8"/>
        <v>1.0965571291480409</v>
      </c>
      <c r="AU26" s="9">
        <f t="shared" si="1"/>
        <v>1.0695379093103476</v>
      </c>
    </row>
    <row r="27" spans="1:47" ht="15.75">
      <c r="A27" s="5">
        <f>A26+1</f>
        <v>23</v>
      </c>
      <c r="B27" s="9">
        <v>2020</v>
      </c>
      <c r="C27" s="9" t="s">
        <v>4</v>
      </c>
      <c r="D27" s="9" t="s">
        <v>39</v>
      </c>
      <c r="E27" s="7" t="s">
        <v>6</v>
      </c>
      <c r="F27" s="5" t="s">
        <v>70</v>
      </c>
      <c r="G27" s="7" t="s">
        <v>8</v>
      </c>
      <c r="H27" s="7" t="s">
        <v>9</v>
      </c>
      <c r="I27" s="9" t="s">
        <v>45</v>
      </c>
      <c r="J27" s="9">
        <v>0.8</v>
      </c>
      <c r="K27" s="5">
        <v>2924</v>
      </c>
      <c r="L27" s="5">
        <v>14299</v>
      </c>
      <c r="M27" s="5">
        <f t="shared" si="10"/>
        <v>4405.1436555891232</v>
      </c>
      <c r="N27" s="5">
        <f t="shared" si="11"/>
        <v>8333.1413897280963</v>
      </c>
      <c r="O27">
        <f t="shared" si="12"/>
        <v>7040.9006797583079</v>
      </c>
      <c r="P27">
        <f t="shared" si="13"/>
        <v>1571.5203927492448</v>
      </c>
      <c r="Q27">
        <f t="shared" si="14"/>
        <v>672.00000000000068</v>
      </c>
      <c r="R27">
        <f t="shared" si="15"/>
        <v>507.99222054380658</v>
      </c>
      <c r="S27">
        <f t="shared" si="16"/>
        <v>6081.0806616314239</v>
      </c>
      <c r="T27" s="5">
        <v>339303</v>
      </c>
      <c r="U27" s="5">
        <v>89448</v>
      </c>
      <c r="V27" s="5">
        <v>35475</v>
      </c>
      <c r="W27" s="9">
        <f t="shared" si="2"/>
        <v>464226</v>
      </c>
      <c r="Y27" s="2">
        <f t="shared" si="9"/>
        <v>42910.779000000002</v>
      </c>
      <c r="Z27">
        <v>251.08772658610269</v>
      </c>
      <c r="AA27">
        <v>256.90449395770389</v>
      </c>
      <c r="AB27">
        <v>693.62197885196383</v>
      </c>
      <c r="AC27">
        <v>877.89841389728099</v>
      </c>
      <c r="AD27">
        <v>335.70000000000067</v>
      </c>
      <c r="AE27">
        <v>336.3</v>
      </c>
      <c r="AF27">
        <v>2118.8314954682778</v>
      </c>
      <c r="AG27">
        <v>2286.3121601208459</v>
      </c>
      <c r="AH27">
        <v>4013.0123867069483</v>
      </c>
      <c r="AI27">
        <v>4320.1290030211476</v>
      </c>
      <c r="AJ27">
        <v>2768.1489562904076</v>
      </c>
      <c r="AK27">
        <v>3312.9317053410164</v>
      </c>
      <c r="AL27">
        <v>3301.0957326283988</v>
      </c>
      <c r="AM27">
        <v>3739.8049471299091</v>
      </c>
      <c r="AO27" s="9">
        <f t="shared" si="3"/>
        <v>1.0114505048234288</v>
      </c>
      <c r="AP27" s="9">
        <f t="shared" si="4"/>
        <v>1.1172599705963349</v>
      </c>
      <c r="AQ27" s="9">
        <f t="shared" si="5"/>
        <v>1.0008928571428561</v>
      </c>
      <c r="AR27" s="9">
        <f t="shared" si="6"/>
        <v>1.0380193423295228</v>
      </c>
      <c r="AS27" s="9">
        <f t="shared" si="7"/>
        <v>1.0368548428438726</v>
      </c>
      <c r="AT27" s="9">
        <f t="shared" si="8"/>
        <v>1.0895865026898781</v>
      </c>
      <c r="AU27" s="9">
        <f t="shared" si="1"/>
        <v>1.0623086781727717</v>
      </c>
    </row>
    <row r="28" spans="1:47" ht="15.75">
      <c r="A28" s="5">
        <f>A27+1</f>
        <v>24</v>
      </c>
      <c r="B28" s="9">
        <v>2020</v>
      </c>
      <c r="C28" s="9" t="s">
        <v>4</v>
      </c>
      <c r="D28" s="9" t="s">
        <v>39</v>
      </c>
      <c r="E28" s="7" t="s">
        <v>6</v>
      </c>
      <c r="F28" s="7" t="s">
        <v>7</v>
      </c>
      <c r="G28" s="7" t="s">
        <v>8</v>
      </c>
      <c r="H28" s="7" t="s">
        <v>9</v>
      </c>
      <c r="I28" s="9" t="s">
        <v>47</v>
      </c>
      <c r="J28" s="9">
        <v>0.8</v>
      </c>
      <c r="K28" s="5">
        <v>2250</v>
      </c>
      <c r="L28" s="5">
        <v>14299</v>
      </c>
      <c r="M28" s="5">
        <f t="shared" si="10"/>
        <v>4405.1436555891241</v>
      </c>
      <c r="N28" s="5">
        <f t="shared" si="11"/>
        <v>8333.1413897280963</v>
      </c>
      <c r="O28">
        <f t="shared" si="12"/>
        <v>7115.6127818731056</v>
      </c>
      <c r="P28">
        <f t="shared" si="13"/>
        <v>1617.5895015105741</v>
      </c>
      <c r="Q28">
        <f t="shared" si="14"/>
        <v>468.00725075528698</v>
      </c>
      <c r="R28">
        <f t="shared" si="15"/>
        <v>507.99222054380664</v>
      </c>
      <c r="S28">
        <f t="shared" si="16"/>
        <v>6128.0000000000073</v>
      </c>
      <c r="T28" s="5">
        <v>340919</v>
      </c>
      <c r="U28" s="5">
        <v>89447</v>
      </c>
      <c r="V28" s="5">
        <v>35475</v>
      </c>
      <c r="W28" s="9">
        <f t="shared" si="2"/>
        <v>465841</v>
      </c>
      <c r="Y28" s="2">
        <f t="shared" si="9"/>
        <v>42874.486799999999</v>
      </c>
      <c r="Z28">
        <v>248.17934290030209</v>
      </c>
      <c r="AA28">
        <v>259.81287764350452</v>
      </c>
      <c r="AB28">
        <v>601.48376132930514</v>
      </c>
      <c r="AC28">
        <v>1016.105740181269</v>
      </c>
      <c r="AD28">
        <v>213.63867069486403</v>
      </c>
      <c r="AE28">
        <v>254.36858006042294</v>
      </c>
      <c r="AF28">
        <v>2035.091163141994</v>
      </c>
      <c r="AG28">
        <v>2370.0524924471301</v>
      </c>
      <c r="AH28">
        <v>3859.4540785498489</v>
      </c>
      <c r="AI28">
        <v>4473.687311178247</v>
      </c>
      <c r="AJ28">
        <v>2768.1489562904076</v>
      </c>
      <c r="AK28">
        <v>3359.8510437096002</v>
      </c>
      <c r="AL28">
        <v>3081.7411253776436</v>
      </c>
      <c r="AM28">
        <v>4033.871656495462</v>
      </c>
      <c r="AO28" s="9">
        <f t="shared" si="3"/>
        <v>1.0229010096468578</v>
      </c>
      <c r="AP28" s="9">
        <f t="shared" si="4"/>
        <v>1.2563208888687594</v>
      </c>
      <c r="AQ28" s="9">
        <f t="shared" si="5"/>
        <v>1.0870283725301852</v>
      </c>
      <c r="AR28" s="9">
        <f t="shared" si="6"/>
        <v>1.0760386846590455</v>
      </c>
      <c r="AS28" s="9">
        <f t="shared" si="7"/>
        <v>1.0737096856877451</v>
      </c>
      <c r="AT28" s="9">
        <f t="shared" si="8"/>
        <v>1.0965571291480405</v>
      </c>
      <c r="AU28" s="9">
        <f t="shared" si="1"/>
        <v>1.1338086487144654</v>
      </c>
    </row>
    <row r="29" spans="1:47" ht="15.75">
      <c r="A29" s="5">
        <f>A28+1</f>
        <v>25</v>
      </c>
      <c r="B29" s="9">
        <v>2020</v>
      </c>
      <c r="C29" s="9" t="s">
        <v>4</v>
      </c>
      <c r="D29" s="9" t="s">
        <v>5</v>
      </c>
      <c r="E29" s="7" t="s">
        <v>6</v>
      </c>
      <c r="F29" s="7" t="s">
        <v>7</v>
      </c>
      <c r="G29" s="7" t="s">
        <v>8</v>
      </c>
      <c r="H29" s="7" t="s">
        <v>9</v>
      </c>
      <c r="I29" s="9" t="s">
        <v>47</v>
      </c>
      <c r="J29" s="9">
        <v>0.8</v>
      </c>
      <c r="K29" s="5">
        <v>2928</v>
      </c>
      <c r="L29" s="5">
        <v>6165</v>
      </c>
      <c r="M29" s="5">
        <f t="shared" si="10"/>
        <v>5089.2924710424713</v>
      </c>
      <c r="N29" s="5">
        <f t="shared" si="11"/>
        <v>9583.2939476447827</v>
      </c>
      <c r="O29">
        <f t="shared" si="12"/>
        <v>8833.0024131274131</v>
      </c>
      <c r="P29">
        <f t="shared" si="13"/>
        <v>2324.278957528958</v>
      </c>
      <c r="Q29">
        <f t="shared" si="14"/>
        <v>551.19691119691106</v>
      </c>
      <c r="R29">
        <f t="shared" si="15"/>
        <v>520.58445945945937</v>
      </c>
      <c r="S29">
        <f t="shared" si="16"/>
        <v>6128.0000000000027</v>
      </c>
      <c r="T29" s="5">
        <v>329040</v>
      </c>
      <c r="U29" s="5">
        <v>47021</v>
      </c>
      <c r="V29" s="5">
        <v>71932</v>
      </c>
      <c r="W29" s="9">
        <f t="shared" si="2"/>
        <v>447993</v>
      </c>
      <c r="Y29" s="2">
        <f t="shared" si="9"/>
        <v>39194.649159999994</v>
      </c>
      <c r="Z29">
        <v>256.58445945945942</v>
      </c>
      <c r="AA29">
        <v>264</v>
      </c>
      <c r="AB29">
        <v>926.63561776061783</v>
      </c>
      <c r="AC29">
        <v>1397.64333976834</v>
      </c>
      <c r="AD29">
        <v>249.57220077220074</v>
      </c>
      <c r="AE29">
        <v>301.62471042471037</v>
      </c>
      <c r="AF29">
        <v>2330.6072393822396</v>
      </c>
      <c r="AG29">
        <v>2758.6852316602317</v>
      </c>
      <c r="AH29">
        <v>4396.9537932046287</v>
      </c>
      <c r="AI29">
        <v>5186.340154440154</v>
      </c>
      <c r="AJ29">
        <v>2768.1489562904062</v>
      </c>
      <c r="AK29">
        <v>3359.8510437095965</v>
      </c>
      <c r="AL29">
        <v>3855.8342181467183</v>
      </c>
      <c r="AM29">
        <v>4977.1681949806953</v>
      </c>
      <c r="AO29" s="9">
        <f t="shared" si="3"/>
        <v>1.0142446444679514</v>
      </c>
      <c r="AP29" s="9">
        <f t="shared" si="4"/>
        <v>1.2026468124585488</v>
      </c>
      <c r="AQ29" s="9">
        <f t="shared" si="5"/>
        <v>1.0944354160829364</v>
      </c>
      <c r="AR29" s="9">
        <f t="shared" si="6"/>
        <v>1.0841134587398367</v>
      </c>
      <c r="AS29" s="9">
        <f t="shared" si="7"/>
        <v>1.0823710892672271</v>
      </c>
      <c r="AT29" s="9">
        <f t="shared" si="8"/>
        <v>1.09655712914804</v>
      </c>
      <c r="AU29" s="9">
        <f t="shared" si="1"/>
        <v>1.1269482248943434</v>
      </c>
    </row>
    <row r="30" spans="1:47" ht="15.75">
      <c r="A30" s="5">
        <f t="shared" ref="A30:A41" si="17">A29+1</f>
        <v>26</v>
      </c>
      <c r="B30" s="9">
        <v>2020</v>
      </c>
      <c r="C30" s="9" t="s">
        <v>4</v>
      </c>
      <c r="D30" s="9" t="s">
        <v>5</v>
      </c>
      <c r="E30" s="7" t="s">
        <v>6</v>
      </c>
      <c r="F30" s="5" t="s">
        <v>48</v>
      </c>
      <c r="G30" s="7" t="s">
        <v>8</v>
      </c>
      <c r="H30" s="7" t="s">
        <v>9</v>
      </c>
      <c r="I30" s="9" t="s">
        <v>47</v>
      </c>
      <c r="J30" s="9">
        <v>0.8</v>
      </c>
      <c r="K30" s="5">
        <v>2688</v>
      </c>
      <c r="L30" s="5">
        <v>6165</v>
      </c>
      <c r="M30" s="5">
        <f t="shared" si="10"/>
        <v>6123.9999999999991</v>
      </c>
      <c r="N30" s="5">
        <f t="shared" si="11"/>
        <v>9293.3254826254815</v>
      </c>
      <c r="O30">
        <f t="shared" si="12"/>
        <v>8412.1389109652464</v>
      </c>
      <c r="P30">
        <f t="shared" si="13"/>
        <v>2088.7750965250971</v>
      </c>
      <c r="Q30">
        <f t="shared" si="14"/>
        <v>525.17065637065639</v>
      </c>
      <c r="R30">
        <f t="shared" si="15"/>
        <v>518.72601351351352</v>
      </c>
      <c r="S30">
        <f t="shared" si="16"/>
        <v>6128.0000000000073</v>
      </c>
      <c r="T30" s="5">
        <v>314625</v>
      </c>
      <c r="U30" s="5">
        <v>47021</v>
      </c>
      <c r="V30" s="5">
        <v>71932</v>
      </c>
      <c r="W30" s="9">
        <f t="shared" si="2"/>
        <v>433578</v>
      </c>
      <c r="Y30" s="2">
        <f t="shared" si="9"/>
        <v>39255.136160000002</v>
      </c>
      <c r="Z30">
        <v>254.72601351351349</v>
      </c>
      <c r="AA30">
        <v>264</v>
      </c>
      <c r="AB30">
        <v>808.88368725868736</v>
      </c>
      <c r="AC30">
        <v>1279.8914092664095</v>
      </c>
      <c r="AD30">
        <v>236.55907335907335</v>
      </c>
      <c r="AE30">
        <v>288.61158301158298</v>
      </c>
      <c r="AF30">
        <v>2755.7999999999988</v>
      </c>
      <c r="AG30">
        <v>3368.2000000000003</v>
      </c>
      <c r="AH30">
        <v>4205.1084942084935</v>
      </c>
      <c r="AI30">
        <v>5088.216988416988</v>
      </c>
      <c r="AJ30">
        <v>2768.1489562904053</v>
      </c>
      <c r="AK30">
        <v>3359.851043709602</v>
      </c>
      <c r="AL30">
        <v>3575.5007239382239</v>
      </c>
      <c r="AM30">
        <v>4836.6381870270225</v>
      </c>
      <c r="AO30" s="9">
        <f t="shared" si="3"/>
        <v>1.0178783909904008</v>
      </c>
      <c r="AP30" s="9">
        <f t="shared" si="4"/>
        <v>1.2254947039493596</v>
      </c>
      <c r="AQ30" s="9">
        <f t="shared" si="5"/>
        <v>1.0991154189996706</v>
      </c>
      <c r="AR30" s="9">
        <f t="shared" si="6"/>
        <v>1.1000000000000003</v>
      </c>
      <c r="AS30" s="9">
        <f t="shared" si="7"/>
        <v>1.0950261018899561</v>
      </c>
      <c r="AT30" s="9">
        <f t="shared" si="8"/>
        <v>1.0965571291480412</v>
      </c>
      <c r="AU30" s="9">
        <f t="shared" si="1"/>
        <v>1.1499187634009351</v>
      </c>
    </row>
    <row r="31" spans="1:47" ht="15.75">
      <c r="A31" s="5">
        <f t="shared" si="17"/>
        <v>27</v>
      </c>
      <c r="B31" s="9">
        <v>2020</v>
      </c>
      <c r="C31" s="9" t="s">
        <v>4</v>
      </c>
      <c r="D31" s="9" t="s">
        <v>5</v>
      </c>
      <c r="E31" s="7" t="s">
        <v>6</v>
      </c>
      <c r="F31" s="5" t="s">
        <v>59</v>
      </c>
      <c r="G31" s="7" t="s">
        <v>8</v>
      </c>
      <c r="H31" s="7" t="s">
        <v>9</v>
      </c>
      <c r="I31" s="9" t="s">
        <v>47</v>
      </c>
      <c r="J31" s="9">
        <v>0.8</v>
      </c>
      <c r="K31" s="5">
        <v>2606</v>
      </c>
      <c r="L31" s="5">
        <v>6165</v>
      </c>
      <c r="M31" s="5">
        <f t="shared" si="10"/>
        <v>4714.7242277992282</v>
      </c>
      <c r="N31" s="5">
        <f t="shared" si="11"/>
        <v>11504.000000000002</v>
      </c>
      <c r="O31">
        <f t="shared" si="12"/>
        <v>7851.835183397684</v>
      </c>
      <c r="P31">
        <f t="shared" si="13"/>
        <v>1877.4232256370578</v>
      </c>
      <c r="Q31">
        <f t="shared" si="14"/>
        <v>499.14440154440149</v>
      </c>
      <c r="R31">
        <f t="shared" si="15"/>
        <v>515.0091216216216</v>
      </c>
      <c r="S31">
        <f t="shared" si="16"/>
        <v>6128.0000000000027</v>
      </c>
      <c r="T31" s="5">
        <v>302059</v>
      </c>
      <c r="U31" s="5">
        <v>47021</v>
      </c>
      <c r="V31" s="5">
        <v>71932</v>
      </c>
      <c r="W31" s="9">
        <f t="shared" si="2"/>
        <v>421012</v>
      </c>
      <c r="Y31" s="2">
        <f t="shared" si="9"/>
        <v>39255.136159999995</v>
      </c>
      <c r="Z31">
        <v>251.0091216216216</v>
      </c>
      <c r="AA31">
        <v>264</v>
      </c>
      <c r="AB31">
        <v>691.13175675675677</v>
      </c>
      <c r="AC31">
        <v>1186.291468880301</v>
      </c>
      <c r="AD31">
        <v>223.54594594594593</v>
      </c>
      <c r="AE31">
        <v>275.59845559845559</v>
      </c>
      <c r="AF31">
        <v>2116.5682432432432</v>
      </c>
      <c r="AG31">
        <v>2598.1559845559846</v>
      </c>
      <c r="AH31">
        <v>5176.8000000000011</v>
      </c>
      <c r="AI31">
        <v>6327.2000000000007</v>
      </c>
      <c r="AJ31">
        <v>2768.1489562904053</v>
      </c>
      <c r="AK31">
        <v>3359.8510437095974</v>
      </c>
      <c r="AL31">
        <v>3295.16722972973</v>
      </c>
      <c r="AM31">
        <v>4556.667953667954</v>
      </c>
      <c r="AO31" s="9">
        <f t="shared" si="3"/>
        <v>1.0252245597854146</v>
      </c>
      <c r="AP31" s="9">
        <f t="shared" si="4"/>
        <v>1.2637443200669491</v>
      </c>
      <c r="AQ31" s="9">
        <f t="shared" si="5"/>
        <v>1.1042834688548127</v>
      </c>
      <c r="AR31" s="9">
        <f t="shared" si="6"/>
        <v>1.1021454740604288</v>
      </c>
      <c r="AS31" s="9">
        <f t="shared" si="7"/>
        <v>1.0999999999999999</v>
      </c>
      <c r="AT31" s="9">
        <f t="shared" si="8"/>
        <v>1.0965571291480405</v>
      </c>
      <c r="AU31" s="9">
        <f t="shared" si="1"/>
        <v>1.1606631691156233</v>
      </c>
    </row>
    <row r="32" spans="1:47" ht="15.75">
      <c r="A32" s="5">
        <f t="shared" si="17"/>
        <v>28</v>
      </c>
      <c r="B32" s="9">
        <v>2020</v>
      </c>
      <c r="C32" s="9" t="s">
        <v>4</v>
      </c>
      <c r="D32" s="9" t="s">
        <v>5</v>
      </c>
      <c r="E32" s="7" t="s">
        <v>6</v>
      </c>
      <c r="F32" s="5" t="s">
        <v>60</v>
      </c>
      <c r="G32" s="7" t="s">
        <v>8</v>
      </c>
      <c r="H32" s="7" t="s">
        <v>9</v>
      </c>
      <c r="I32" s="9" t="s">
        <v>47</v>
      </c>
      <c r="J32" s="9">
        <v>0.8</v>
      </c>
      <c r="K32" s="5">
        <v>2826</v>
      </c>
      <c r="L32" s="5">
        <v>6165</v>
      </c>
      <c r="M32" s="5">
        <f t="shared" si="10"/>
        <v>4500.6852316602317</v>
      </c>
      <c r="N32" s="5">
        <f t="shared" si="11"/>
        <v>8535.4004746718092</v>
      </c>
      <c r="O32">
        <f t="shared" si="12"/>
        <v>11210</v>
      </c>
      <c r="P32">
        <f t="shared" si="13"/>
        <v>1725.1335135135137</v>
      </c>
      <c r="Q32">
        <f t="shared" si="14"/>
        <v>479.62471042471043</v>
      </c>
      <c r="R32">
        <f t="shared" si="15"/>
        <v>511.29222972972968</v>
      </c>
      <c r="S32">
        <f t="shared" si="16"/>
        <v>6128.0000000000073</v>
      </c>
      <c r="T32" s="5">
        <v>302693</v>
      </c>
      <c r="U32" s="5">
        <v>47021</v>
      </c>
      <c r="V32" s="5">
        <v>71932</v>
      </c>
      <c r="W32" s="9">
        <f t="shared" si="2"/>
        <v>421646</v>
      </c>
      <c r="Y32" s="2">
        <f t="shared" si="9"/>
        <v>39255.136159999995</v>
      </c>
      <c r="Z32">
        <v>247.29222972972971</v>
      </c>
      <c r="AA32">
        <v>264</v>
      </c>
      <c r="AB32">
        <v>621.87</v>
      </c>
      <c r="AC32">
        <v>1103.2635135135135</v>
      </c>
      <c r="AD32">
        <v>210.53281853281854</v>
      </c>
      <c r="AE32">
        <v>269.09189189189186</v>
      </c>
      <c r="AF32">
        <v>2009.5487451737451</v>
      </c>
      <c r="AG32">
        <v>2491.1364864864868</v>
      </c>
      <c r="AH32">
        <v>3839.6761503474845</v>
      </c>
      <c r="AI32">
        <v>4695.7243243243238</v>
      </c>
      <c r="AJ32">
        <v>2768.1489562904044</v>
      </c>
      <c r="AK32">
        <v>3359.8510437096029</v>
      </c>
      <c r="AL32">
        <v>5045</v>
      </c>
      <c r="AM32">
        <v>6165</v>
      </c>
      <c r="AO32" s="9">
        <f t="shared" si="3"/>
        <v>1.0326775360523317</v>
      </c>
      <c r="AP32" s="9">
        <f t="shared" si="4"/>
        <v>1.2790471054805941</v>
      </c>
      <c r="AQ32" s="9">
        <f t="shared" si="5"/>
        <v>1.1220935287241953</v>
      </c>
      <c r="AR32" s="9">
        <f t="shared" si="6"/>
        <v>1.107003204295425</v>
      </c>
      <c r="AS32" s="9">
        <f t="shared" si="7"/>
        <v>1.1002938498922341</v>
      </c>
      <c r="AT32" s="9">
        <f t="shared" si="8"/>
        <v>1.0965571291480414</v>
      </c>
      <c r="AU32" s="9">
        <f t="shared" si="1"/>
        <v>1.0999107939339876</v>
      </c>
    </row>
    <row r="33" spans="1:47" ht="15.75">
      <c r="A33" s="5">
        <f t="shared" si="17"/>
        <v>29</v>
      </c>
      <c r="B33" s="9">
        <v>2020</v>
      </c>
      <c r="C33" s="9" t="s">
        <v>4</v>
      </c>
      <c r="D33" s="9" t="s">
        <v>5</v>
      </c>
      <c r="E33" s="7" t="s">
        <v>6</v>
      </c>
      <c r="F33" s="5" t="s">
        <v>68</v>
      </c>
      <c r="G33" s="7" t="s">
        <v>8</v>
      </c>
      <c r="H33" s="7" t="s">
        <v>9</v>
      </c>
      <c r="I33" s="9" t="s">
        <v>47</v>
      </c>
      <c r="J33" s="9">
        <v>0.8</v>
      </c>
      <c r="K33" s="5">
        <v>2913</v>
      </c>
      <c r="L33" s="5">
        <v>6165</v>
      </c>
      <c r="M33" s="5">
        <f t="shared" si="10"/>
        <v>4928.7632239382237</v>
      </c>
      <c r="N33" s="5">
        <f t="shared" si="11"/>
        <v>9312.0401111567116</v>
      </c>
      <c r="O33">
        <f t="shared" si="12"/>
        <v>8450.9295913143214</v>
      </c>
      <c r="P33">
        <f t="shared" si="13"/>
        <v>3220.0000000000009</v>
      </c>
      <c r="Q33">
        <f t="shared" si="14"/>
        <v>531.67722007722</v>
      </c>
      <c r="R33">
        <f t="shared" si="15"/>
        <v>518.72601351351352</v>
      </c>
      <c r="S33">
        <f t="shared" si="16"/>
        <v>6128.0000000000082</v>
      </c>
      <c r="T33" s="5">
        <v>321294</v>
      </c>
      <c r="U33" s="5">
        <v>47021</v>
      </c>
      <c r="V33" s="5">
        <v>71932</v>
      </c>
      <c r="W33" s="9">
        <f t="shared" si="2"/>
        <v>440247</v>
      </c>
      <c r="Y33" s="2">
        <f t="shared" si="9"/>
        <v>39255.136159999995</v>
      </c>
      <c r="Z33">
        <v>254.72601351351349</v>
      </c>
      <c r="AA33">
        <v>264</v>
      </c>
      <c r="AB33">
        <v>1509.0500000000009</v>
      </c>
      <c r="AC33">
        <v>1710.95</v>
      </c>
      <c r="AD33">
        <v>236.55907335907335</v>
      </c>
      <c r="AE33">
        <v>295.1181467181467</v>
      </c>
      <c r="AF33">
        <v>2223.5877413127414</v>
      </c>
      <c r="AG33">
        <v>2705.1754826254828</v>
      </c>
      <c r="AH33">
        <v>4223.8231227397246</v>
      </c>
      <c r="AI33">
        <v>5088.216988416988</v>
      </c>
      <c r="AJ33">
        <v>2768.148956290408</v>
      </c>
      <c r="AK33">
        <v>3359.8510437096002</v>
      </c>
      <c r="AL33">
        <v>3613.9281434378731</v>
      </c>
      <c r="AM33">
        <v>4837.0014478764479</v>
      </c>
      <c r="AO33" s="9">
        <f t="shared" si="3"/>
        <v>1.0178783909904008</v>
      </c>
      <c r="AP33" s="9">
        <f t="shared" si="4"/>
        <v>1.062701863354037</v>
      </c>
      <c r="AQ33" s="9">
        <f t="shared" si="5"/>
        <v>1.110140271480069</v>
      </c>
      <c r="AR33" s="9">
        <f t="shared" si="6"/>
        <v>1.0977096523877929</v>
      </c>
      <c r="AS33" s="9">
        <f t="shared" si="7"/>
        <v>1.0928254018839156</v>
      </c>
      <c r="AT33" s="9">
        <f t="shared" si="8"/>
        <v>1.0965571291480403</v>
      </c>
      <c r="AU33" s="9">
        <f t="shared" si="1"/>
        <v>1.1447264814152069</v>
      </c>
    </row>
    <row r="34" spans="1:47" ht="15.75">
      <c r="A34" s="5">
        <f t="shared" si="17"/>
        <v>30</v>
      </c>
      <c r="B34" s="9">
        <v>2020</v>
      </c>
      <c r="C34" s="9" t="s">
        <v>4</v>
      </c>
      <c r="D34" s="9" t="s">
        <v>5</v>
      </c>
      <c r="E34" s="7" t="s">
        <v>6</v>
      </c>
      <c r="F34" s="5" t="s">
        <v>69</v>
      </c>
      <c r="G34" s="7" t="s">
        <v>8</v>
      </c>
      <c r="H34" s="7" t="s">
        <v>9</v>
      </c>
      <c r="I34" s="9" t="s">
        <v>47</v>
      </c>
      <c r="J34" s="9">
        <v>0.8</v>
      </c>
      <c r="K34" s="5">
        <v>2928</v>
      </c>
      <c r="L34" s="5">
        <v>6165</v>
      </c>
      <c r="M34" s="5">
        <f t="shared" si="10"/>
        <v>5089.2924710424713</v>
      </c>
      <c r="N34" s="5">
        <f t="shared" si="11"/>
        <v>9575.878407104241</v>
      </c>
      <c r="O34">
        <f t="shared" si="12"/>
        <v>8833.0024131274131</v>
      </c>
      <c r="P34">
        <f t="shared" si="13"/>
        <v>2324.278957528958</v>
      </c>
      <c r="Q34">
        <f t="shared" si="14"/>
        <v>551.19691119691106</v>
      </c>
      <c r="R34">
        <f t="shared" si="15"/>
        <v>528</v>
      </c>
      <c r="S34">
        <f t="shared" si="16"/>
        <v>6128.0000000000027</v>
      </c>
      <c r="T34" s="5">
        <v>327802</v>
      </c>
      <c r="U34" s="5">
        <v>47021</v>
      </c>
      <c r="V34" s="5">
        <v>71932</v>
      </c>
      <c r="W34" s="9">
        <f t="shared" si="2"/>
        <v>446755</v>
      </c>
      <c r="Y34" s="2">
        <f t="shared" si="9"/>
        <v>39194.649159999986</v>
      </c>
      <c r="Z34">
        <v>264</v>
      </c>
      <c r="AA34">
        <v>264</v>
      </c>
      <c r="AB34">
        <v>926.63561776061783</v>
      </c>
      <c r="AC34">
        <v>1397.64333976834</v>
      </c>
      <c r="AD34">
        <v>249.57220077220074</v>
      </c>
      <c r="AE34">
        <v>301.62471042471037</v>
      </c>
      <c r="AF34">
        <v>2330.6072393822396</v>
      </c>
      <c r="AG34">
        <v>2758.6852316602317</v>
      </c>
      <c r="AH34">
        <v>4389.5382526640869</v>
      </c>
      <c r="AI34">
        <v>5186.340154440154</v>
      </c>
      <c r="AJ34">
        <v>2768.1489562904039</v>
      </c>
      <c r="AK34">
        <v>3359.8510437095988</v>
      </c>
      <c r="AL34">
        <v>3855.8342181467183</v>
      </c>
      <c r="AM34">
        <v>4977.1681949806953</v>
      </c>
      <c r="AO34" s="9">
        <f t="shared" si="3"/>
        <v>1</v>
      </c>
      <c r="AP34" s="9">
        <f t="shared" si="4"/>
        <v>1.2026468124585488</v>
      </c>
      <c r="AQ34" s="9">
        <f t="shared" si="5"/>
        <v>1.0944354160829364</v>
      </c>
      <c r="AR34" s="9">
        <f t="shared" si="6"/>
        <v>1.0841134587398367</v>
      </c>
      <c r="AS34" s="9">
        <f t="shared" si="7"/>
        <v>1.0832092752122802</v>
      </c>
      <c r="AT34" s="9">
        <f t="shared" si="8"/>
        <v>1.0965571291480409</v>
      </c>
      <c r="AU34" s="9">
        <f t="shared" si="1"/>
        <v>1.1269482248943434</v>
      </c>
    </row>
    <row r="35" spans="1:47" ht="15.75">
      <c r="A35" s="5">
        <f t="shared" si="17"/>
        <v>31</v>
      </c>
      <c r="B35" s="9">
        <v>2020</v>
      </c>
      <c r="C35" s="9" t="s">
        <v>4</v>
      </c>
      <c r="D35" s="9" t="s">
        <v>5</v>
      </c>
      <c r="E35" s="7" t="s">
        <v>6</v>
      </c>
      <c r="F35" s="5" t="s">
        <v>70</v>
      </c>
      <c r="G35" s="7" t="s">
        <v>8</v>
      </c>
      <c r="H35" s="7" t="s">
        <v>9</v>
      </c>
      <c r="I35" s="9" t="s">
        <v>47</v>
      </c>
      <c r="J35" s="9">
        <v>0.8</v>
      </c>
      <c r="K35" s="5">
        <v>2893</v>
      </c>
      <c r="L35" s="5">
        <v>6165</v>
      </c>
      <c r="M35" s="5">
        <f t="shared" si="10"/>
        <v>5062.2115152123506</v>
      </c>
      <c r="N35" s="5">
        <f t="shared" si="11"/>
        <v>9489.5718146718136</v>
      </c>
      <c r="O35">
        <f t="shared" si="12"/>
        <v>8833.0024131274131</v>
      </c>
      <c r="P35">
        <f t="shared" si="13"/>
        <v>2324.278957528958</v>
      </c>
      <c r="Q35">
        <f t="shared" si="14"/>
        <v>672</v>
      </c>
      <c r="R35">
        <f t="shared" si="15"/>
        <v>520.58445945945937</v>
      </c>
      <c r="S35">
        <f t="shared" si="16"/>
        <v>6128.0000000000018</v>
      </c>
      <c r="T35" s="5">
        <v>327491</v>
      </c>
      <c r="U35" s="5">
        <v>47021</v>
      </c>
      <c r="V35" s="5">
        <v>71932</v>
      </c>
      <c r="W35" s="9">
        <f t="shared" si="2"/>
        <v>446444</v>
      </c>
      <c r="Y35" s="2">
        <f t="shared" si="9"/>
        <v>39194.649159999994</v>
      </c>
      <c r="Z35">
        <v>256.58445945945942</v>
      </c>
      <c r="AA35">
        <v>264</v>
      </c>
      <c r="AB35">
        <v>926.63561776061783</v>
      </c>
      <c r="AC35">
        <v>1397.64333976834</v>
      </c>
      <c r="AD35">
        <v>335.7</v>
      </c>
      <c r="AE35">
        <v>336.3</v>
      </c>
      <c r="AF35">
        <v>2303.5262835521189</v>
      </c>
      <c r="AG35">
        <v>2758.6852316602317</v>
      </c>
      <c r="AH35">
        <v>4303.2316602316596</v>
      </c>
      <c r="AI35">
        <v>5186.340154440154</v>
      </c>
      <c r="AJ35">
        <v>2768.1489562904067</v>
      </c>
      <c r="AK35">
        <v>3359.8510437095952</v>
      </c>
      <c r="AL35">
        <v>3855.8342181467183</v>
      </c>
      <c r="AM35">
        <v>4977.1681949806953</v>
      </c>
      <c r="AO35" s="9">
        <f t="shared" si="3"/>
        <v>1.0142446444679514</v>
      </c>
      <c r="AP35" s="9">
        <f t="shared" si="4"/>
        <v>1.2026468124585488</v>
      </c>
      <c r="AQ35" s="9">
        <f t="shared" si="5"/>
        <v>1.0008928571428573</v>
      </c>
      <c r="AR35" s="9">
        <f t="shared" si="6"/>
        <v>1.089913064031466</v>
      </c>
      <c r="AS35" s="9">
        <f t="shared" si="7"/>
        <v>1.0930609422063831</v>
      </c>
      <c r="AT35" s="9">
        <f t="shared" si="8"/>
        <v>1.0965571291480398</v>
      </c>
      <c r="AU35" s="9">
        <f t="shared" si="1"/>
        <v>1.1269482248943434</v>
      </c>
    </row>
    <row r="36" spans="1:47" ht="15.75">
      <c r="A36" s="5">
        <f t="shared" si="17"/>
        <v>32</v>
      </c>
      <c r="B36" s="9">
        <v>2020</v>
      </c>
      <c r="C36" s="9" t="s">
        <v>4</v>
      </c>
      <c r="D36" s="9" t="s">
        <v>39</v>
      </c>
      <c r="E36" s="7" t="s">
        <v>6</v>
      </c>
      <c r="F36" s="5" t="s">
        <v>48</v>
      </c>
      <c r="G36" s="7" t="s">
        <v>8</v>
      </c>
      <c r="H36" s="7" t="s">
        <v>9</v>
      </c>
      <c r="I36" s="9" t="s">
        <v>47</v>
      </c>
      <c r="J36" s="9">
        <v>0.8</v>
      </c>
      <c r="K36" s="5">
        <v>2493</v>
      </c>
      <c r="L36" s="5">
        <v>14299</v>
      </c>
      <c r="M36" s="5">
        <f t="shared" si="10"/>
        <v>6123.9999999999991</v>
      </c>
      <c r="N36" s="5">
        <f t="shared" si="11"/>
        <v>8026.0247734138966</v>
      </c>
      <c r="O36">
        <f t="shared" si="12"/>
        <v>6602.1914652567975</v>
      </c>
      <c r="P36">
        <f t="shared" si="13"/>
        <v>1387.2439577039277</v>
      </c>
      <c r="Q36">
        <f t="shared" si="14"/>
        <v>447.64229607250752</v>
      </c>
      <c r="R36">
        <f t="shared" si="15"/>
        <v>502.17545317220538</v>
      </c>
      <c r="S36">
        <f t="shared" si="16"/>
        <v>5546.6958543806668</v>
      </c>
      <c r="T36" s="5">
        <v>333161</v>
      </c>
      <c r="U36" s="5">
        <v>89448</v>
      </c>
      <c r="V36" s="5">
        <v>35475</v>
      </c>
      <c r="W36" s="9">
        <f t="shared" si="2"/>
        <v>458084</v>
      </c>
      <c r="Y36" s="2">
        <f t="shared" si="9"/>
        <v>42934.9738</v>
      </c>
      <c r="Z36">
        <v>245.27095921450149</v>
      </c>
      <c r="AA36">
        <v>256.90449395770389</v>
      </c>
      <c r="AB36">
        <v>509.34554380664656</v>
      </c>
      <c r="AC36">
        <v>877.89841389728099</v>
      </c>
      <c r="AD36">
        <v>203.4561933534743</v>
      </c>
      <c r="AE36">
        <v>244.18610271903322</v>
      </c>
      <c r="AF36">
        <v>2755.7999999999988</v>
      </c>
      <c r="AG36">
        <v>3368.2000000000003</v>
      </c>
      <c r="AH36">
        <v>3705.895770392749</v>
      </c>
      <c r="AI36">
        <v>4320.1290030211476</v>
      </c>
      <c r="AJ36">
        <v>2768.1489562904089</v>
      </c>
      <c r="AK36">
        <v>2778.5468980902579</v>
      </c>
      <c r="AL36">
        <v>2862.3865181268884</v>
      </c>
      <c r="AM36">
        <v>3739.8049471299091</v>
      </c>
      <c r="AO36" s="9">
        <f t="shared" si="3"/>
        <v>1.0231662751926927</v>
      </c>
      <c r="AP36" s="9">
        <f t="shared" si="4"/>
        <v>1.2656727160669261</v>
      </c>
      <c r="AQ36" s="9">
        <f t="shared" si="5"/>
        <v>1.0909876249919013</v>
      </c>
      <c r="AR36" s="9">
        <f t="shared" si="6"/>
        <v>1.1000000000000003</v>
      </c>
      <c r="AS36" s="9">
        <f t="shared" si="7"/>
        <v>1.076530193958912</v>
      </c>
      <c r="AT36" s="9">
        <f t="shared" si="8"/>
        <v>1.0018746190656256</v>
      </c>
      <c r="AU36" s="9">
        <f t="shared" si="1"/>
        <v>1.1328980587158559</v>
      </c>
    </row>
    <row r="37" spans="1:47" ht="15.75">
      <c r="A37" s="5">
        <f t="shared" si="17"/>
        <v>33</v>
      </c>
      <c r="B37" s="9">
        <v>2020</v>
      </c>
      <c r="C37" s="9" t="s">
        <v>4</v>
      </c>
      <c r="D37" s="9" t="s">
        <v>39</v>
      </c>
      <c r="E37" s="7" t="s">
        <v>6</v>
      </c>
      <c r="F37" s="5" t="s">
        <v>59</v>
      </c>
      <c r="G37" s="7" t="s">
        <v>8</v>
      </c>
      <c r="H37" s="7" t="s">
        <v>9</v>
      </c>
      <c r="I37" s="9" t="s">
        <v>47</v>
      </c>
      <c r="J37" s="9">
        <v>0.8</v>
      </c>
      <c r="K37" s="5">
        <v>2343</v>
      </c>
      <c r="L37" s="5">
        <v>14299</v>
      </c>
      <c r="M37" s="5">
        <f t="shared" si="10"/>
        <v>3902.7016616314195</v>
      </c>
      <c r="N37" s="5">
        <f t="shared" si="11"/>
        <v>11503.999999999985</v>
      </c>
      <c r="O37">
        <f t="shared" si="12"/>
        <v>5776.8288330385367</v>
      </c>
      <c r="P37">
        <f t="shared" si="13"/>
        <v>1018.6910876132931</v>
      </c>
      <c r="Q37">
        <f t="shared" si="14"/>
        <v>406.91238670694861</v>
      </c>
      <c r="R37">
        <f t="shared" si="15"/>
        <v>490.54191842900298</v>
      </c>
      <c r="S37">
        <f t="shared" si="16"/>
        <v>5536.2979125808133</v>
      </c>
      <c r="T37" s="5">
        <v>318911</v>
      </c>
      <c r="U37" s="5">
        <v>89448</v>
      </c>
      <c r="V37" s="5">
        <v>35475</v>
      </c>
      <c r="W37" s="9">
        <f t="shared" si="2"/>
        <v>443834</v>
      </c>
      <c r="Y37" s="2">
        <f t="shared" si="9"/>
        <v>42934.9738</v>
      </c>
      <c r="Z37">
        <v>239.45419184290029</v>
      </c>
      <c r="AA37">
        <v>251.08772658610269</v>
      </c>
      <c r="AB37">
        <v>325.06910876132929</v>
      </c>
      <c r="AC37">
        <v>693.62197885196383</v>
      </c>
      <c r="AD37">
        <v>183.09123867069485</v>
      </c>
      <c r="AE37">
        <v>223.82114803625376</v>
      </c>
      <c r="AF37">
        <v>1783.8701661631419</v>
      </c>
      <c r="AG37">
        <v>2118.8314954682778</v>
      </c>
      <c r="AH37">
        <v>5176.7999999999847</v>
      </c>
      <c r="AI37">
        <v>6327.2000000000007</v>
      </c>
      <c r="AJ37">
        <v>2768.148956290408</v>
      </c>
      <c r="AK37">
        <v>2768.1489562904053</v>
      </c>
      <c r="AL37">
        <v>2423.6773036253776</v>
      </c>
      <c r="AM37">
        <v>3353.1515294131591</v>
      </c>
      <c r="AO37" s="9">
        <f t="shared" si="3"/>
        <v>1.0237156791420796</v>
      </c>
      <c r="AP37" s="9">
        <f t="shared" si="4"/>
        <v>1.3617906100995962</v>
      </c>
      <c r="AQ37" s="9">
        <f t="shared" si="5"/>
        <v>1.100095034449988</v>
      </c>
      <c r="AR37" s="9">
        <f t="shared" si="6"/>
        <v>1.0858280643376452</v>
      </c>
      <c r="AS37" s="9">
        <f t="shared" si="7"/>
        <v>1.1000000000000014</v>
      </c>
      <c r="AT37" s="9">
        <f t="shared" si="8"/>
        <v>0.99999999999999956</v>
      </c>
      <c r="AU37" s="9">
        <f t="shared" si="1"/>
        <v>1.160896964866257</v>
      </c>
    </row>
    <row r="38" spans="1:47" ht="15.75">
      <c r="A38" s="5">
        <f t="shared" si="17"/>
        <v>34</v>
      </c>
      <c r="B38" s="9">
        <v>2020</v>
      </c>
      <c r="C38" s="9" t="s">
        <v>4</v>
      </c>
      <c r="D38" s="9" t="s">
        <v>39</v>
      </c>
      <c r="E38" s="7" t="s">
        <v>6</v>
      </c>
      <c r="F38" s="5" t="s">
        <v>60</v>
      </c>
      <c r="G38" s="7" t="s">
        <v>8</v>
      </c>
      <c r="H38" s="7" t="s">
        <v>9</v>
      </c>
      <c r="I38" s="9" t="s">
        <v>47</v>
      </c>
      <c r="J38" s="9">
        <v>0.8</v>
      </c>
      <c r="K38" s="5">
        <v>2873</v>
      </c>
      <c r="L38" s="5">
        <v>14299</v>
      </c>
      <c r="M38" s="5">
        <f t="shared" si="10"/>
        <v>3609.6104984894259</v>
      </c>
      <c r="N38" s="5">
        <f t="shared" si="11"/>
        <v>6874.3374622356496</v>
      </c>
      <c r="O38">
        <f t="shared" si="12"/>
        <v>11067.884308869336</v>
      </c>
      <c r="P38">
        <f t="shared" si="13"/>
        <v>696.20732628398787</v>
      </c>
      <c r="Q38">
        <f t="shared" si="14"/>
        <v>371.27371601208461</v>
      </c>
      <c r="R38">
        <f t="shared" si="15"/>
        <v>480.36257552870086</v>
      </c>
      <c r="S38">
        <f t="shared" si="16"/>
        <v>5536.2979125808142</v>
      </c>
      <c r="T38" s="5">
        <v>321101</v>
      </c>
      <c r="U38" s="5">
        <v>89447</v>
      </c>
      <c r="V38" s="5">
        <v>35475</v>
      </c>
      <c r="W38" s="9">
        <f t="shared" si="2"/>
        <v>446023</v>
      </c>
      <c r="Y38" s="2">
        <f t="shared" si="9"/>
        <v>42934.973799999992</v>
      </c>
      <c r="Z38">
        <v>238</v>
      </c>
      <c r="AA38">
        <v>242.36257552870089</v>
      </c>
      <c r="AB38">
        <v>279</v>
      </c>
      <c r="AC38">
        <v>417.20732628398792</v>
      </c>
      <c r="AD38">
        <v>178</v>
      </c>
      <c r="AE38">
        <v>193.27371601208458</v>
      </c>
      <c r="AF38">
        <v>1742</v>
      </c>
      <c r="AG38">
        <v>1867.6104984894259</v>
      </c>
      <c r="AH38">
        <v>3322</v>
      </c>
      <c r="AI38">
        <v>3552.3374622356496</v>
      </c>
      <c r="AJ38">
        <v>2768.1489562904067</v>
      </c>
      <c r="AK38">
        <v>2768.1489562904076</v>
      </c>
      <c r="AL38">
        <v>4902.8843088693366</v>
      </c>
      <c r="AM38">
        <v>6165</v>
      </c>
      <c r="AO38" s="9">
        <f t="shared" si="3"/>
        <v>1.0090818389086604</v>
      </c>
      <c r="AP38" s="9">
        <f t="shared" si="4"/>
        <v>1.1985146106141553</v>
      </c>
      <c r="AQ38" s="9">
        <f t="shared" si="5"/>
        <v>1.0411386945893779</v>
      </c>
      <c r="AR38" s="9">
        <f t="shared" si="6"/>
        <v>1.0347989065695571</v>
      </c>
      <c r="AS38" s="9">
        <f t="shared" si="7"/>
        <v>1.0335068598975559</v>
      </c>
      <c r="AT38" s="9">
        <f t="shared" si="8"/>
        <v>1.0000000000000002</v>
      </c>
      <c r="AU38" s="9">
        <f t="shared" si="1"/>
        <v>1.1140340516677842</v>
      </c>
    </row>
    <row r="39" spans="1:47" ht="15.75">
      <c r="A39" s="5">
        <f t="shared" si="17"/>
        <v>35</v>
      </c>
      <c r="B39" s="9">
        <v>2020</v>
      </c>
      <c r="C39" s="9" t="s">
        <v>4</v>
      </c>
      <c r="D39" s="9" t="s">
        <v>39</v>
      </c>
      <c r="E39" s="7" t="s">
        <v>6</v>
      </c>
      <c r="F39" s="5" t="s">
        <v>68</v>
      </c>
      <c r="G39" s="7" t="s">
        <v>8</v>
      </c>
      <c r="H39" s="7" t="s">
        <v>9</v>
      </c>
      <c r="I39" s="9" t="s">
        <v>47</v>
      </c>
      <c r="J39" s="9">
        <v>0.8</v>
      </c>
      <c r="K39" s="5">
        <v>2688</v>
      </c>
      <c r="L39" s="5">
        <v>14299</v>
      </c>
      <c r="M39" s="5">
        <f t="shared" si="10"/>
        <v>4237.6629909365556</v>
      </c>
      <c r="N39" s="5">
        <f t="shared" si="11"/>
        <v>8026.0247734138966</v>
      </c>
      <c r="O39">
        <f t="shared" si="12"/>
        <v>6602.1914652567975</v>
      </c>
      <c r="P39">
        <f t="shared" si="13"/>
        <v>3219.9999999999973</v>
      </c>
      <c r="Q39">
        <f t="shared" si="14"/>
        <v>447.64229607250752</v>
      </c>
      <c r="R39">
        <f t="shared" si="15"/>
        <v>502.17545317220538</v>
      </c>
      <c r="S39">
        <f t="shared" si="16"/>
        <v>5590.3068066980468</v>
      </c>
      <c r="T39" s="5">
        <v>340895</v>
      </c>
      <c r="U39" s="5">
        <v>89448</v>
      </c>
      <c r="V39" s="5">
        <v>35475</v>
      </c>
      <c r="W39" s="9">
        <f t="shared" si="2"/>
        <v>465818</v>
      </c>
      <c r="Y39" s="2">
        <f t="shared" si="9"/>
        <v>42925.003785550012</v>
      </c>
      <c r="Z39">
        <v>245.27095921450149</v>
      </c>
      <c r="AA39">
        <v>256.90449395770389</v>
      </c>
      <c r="AB39">
        <v>1509.049999999997</v>
      </c>
      <c r="AC39">
        <v>1710.95</v>
      </c>
      <c r="AD39">
        <v>203.4561933534743</v>
      </c>
      <c r="AE39">
        <v>244.18610271903322</v>
      </c>
      <c r="AF39">
        <v>1951.35083081571</v>
      </c>
      <c r="AG39">
        <v>2286.3121601208459</v>
      </c>
      <c r="AH39">
        <v>3705.895770392749</v>
      </c>
      <c r="AI39">
        <v>4320.1290030211476</v>
      </c>
      <c r="AJ39">
        <v>2768.1489562904085</v>
      </c>
      <c r="AK39">
        <v>2822.1578504076379</v>
      </c>
      <c r="AL39">
        <v>2862.3865181268884</v>
      </c>
      <c r="AM39">
        <v>3739.8049471299091</v>
      </c>
      <c r="AO39" s="9">
        <f t="shared" si="3"/>
        <v>1.0231662751926927</v>
      </c>
      <c r="AP39" s="9">
        <f t="shared" si="4"/>
        <v>1.0627018633540382</v>
      </c>
      <c r="AQ39" s="9">
        <f t="shared" si="5"/>
        <v>1.0909876249919013</v>
      </c>
      <c r="AR39" s="9">
        <f t="shared" si="6"/>
        <v>1.0790438810310179</v>
      </c>
      <c r="AS39" s="9">
        <f t="shared" si="7"/>
        <v>1.076530193958912</v>
      </c>
      <c r="AT39" s="9">
        <f t="shared" si="8"/>
        <v>1.0096611681585199</v>
      </c>
      <c r="AU39" s="9">
        <f t="shared" si="1"/>
        <v>1.1328980587158559</v>
      </c>
    </row>
    <row r="40" spans="1:47" ht="15.75">
      <c r="A40" s="5">
        <f t="shared" si="17"/>
        <v>36</v>
      </c>
      <c r="B40" s="9">
        <v>2020</v>
      </c>
      <c r="C40" s="9" t="s">
        <v>4</v>
      </c>
      <c r="D40" s="9" t="s">
        <v>39</v>
      </c>
      <c r="E40" s="7" t="s">
        <v>6</v>
      </c>
      <c r="F40" s="5" t="s">
        <v>69</v>
      </c>
      <c r="G40" s="7" t="s">
        <v>8</v>
      </c>
      <c r="H40" s="7" t="s">
        <v>9</v>
      </c>
      <c r="I40" s="9" t="s">
        <v>47</v>
      </c>
      <c r="J40" s="9">
        <v>0.8</v>
      </c>
      <c r="K40" s="5">
        <v>2266</v>
      </c>
      <c r="L40" s="5">
        <v>14299</v>
      </c>
      <c r="M40" s="5">
        <f t="shared" si="10"/>
        <v>4405.1436555891241</v>
      </c>
      <c r="N40" s="5">
        <f t="shared" si="11"/>
        <v>8333.1413897280963</v>
      </c>
      <c r="O40">
        <f t="shared" si="12"/>
        <v>7095.6050024169199</v>
      </c>
      <c r="P40">
        <f t="shared" si="13"/>
        <v>1617.5895015105741</v>
      </c>
      <c r="Q40">
        <f t="shared" si="14"/>
        <v>468.00725075528698</v>
      </c>
      <c r="R40">
        <f t="shared" si="15"/>
        <v>528</v>
      </c>
      <c r="S40">
        <f t="shared" si="16"/>
        <v>6128</v>
      </c>
      <c r="T40" s="5">
        <v>339329</v>
      </c>
      <c r="U40" s="5">
        <v>89448</v>
      </c>
      <c r="V40" s="5">
        <v>35475</v>
      </c>
      <c r="W40" s="9">
        <f t="shared" si="2"/>
        <v>464252</v>
      </c>
      <c r="Y40" s="2">
        <f t="shared" si="9"/>
        <v>42874.486799999999</v>
      </c>
      <c r="Z40">
        <v>264</v>
      </c>
      <c r="AA40">
        <v>264</v>
      </c>
      <c r="AB40">
        <v>601.48376132930514</v>
      </c>
      <c r="AC40">
        <v>1016.105740181269</v>
      </c>
      <c r="AD40">
        <v>213.63867069486403</v>
      </c>
      <c r="AE40">
        <v>254.36858006042294</v>
      </c>
      <c r="AF40">
        <v>2035.091163141994</v>
      </c>
      <c r="AG40">
        <v>2370.0524924471301</v>
      </c>
      <c r="AH40">
        <v>3859.4540785498489</v>
      </c>
      <c r="AI40">
        <v>4473.687311178247</v>
      </c>
      <c r="AJ40">
        <v>2768.1489562904071</v>
      </c>
      <c r="AK40">
        <v>3359.8510437095929</v>
      </c>
      <c r="AL40">
        <v>3081.7411253776436</v>
      </c>
      <c r="AM40">
        <v>4013.8638770392768</v>
      </c>
      <c r="AO40" s="9">
        <f t="shared" si="3"/>
        <v>1</v>
      </c>
      <c r="AP40" s="9">
        <f t="shared" si="4"/>
        <v>1.2563208888687594</v>
      </c>
      <c r="AQ40" s="9">
        <f t="shared" si="5"/>
        <v>1.0870283725301852</v>
      </c>
      <c r="AR40" s="9">
        <f t="shared" si="6"/>
        <v>1.0760386846590455</v>
      </c>
      <c r="AS40" s="9">
        <f t="shared" si="7"/>
        <v>1.0737096856877451</v>
      </c>
      <c r="AT40" s="9">
        <f t="shared" si="8"/>
        <v>1.0965571291480394</v>
      </c>
      <c r="AU40" s="9">
        <f t="shared" si="1"/>
        <v>1.1313662120910242</v>
      </c>
    </row>
    <row r="41" spans="1:47" ht="15.75">
      <c r="A41" s="5">
        <f t="shared" si="17"/>
        <v>37</v>
      </c>
      <c r="B41" s="9">
        <v>2020</v>
      </c>
      <c r="C41" s="9" t="s">
        <v>4</v>
      </c>
      <c r="D41" s="9" t="s">
        <v>39</v>
      </c>
      <c r="E41" s="7" t="s">
        <v>6</v>
      </c>
      <c r="F41" s="5" t="s">
        <v>70</v>
      </c>
      <c r="G41" s="7" t="s">
        <v>8</v>
      </c>
      <c r="H41" s="7" t="s">
        <v>9</v>
      </c>
      <c r="I41" s="9" t="s">
        <v>47</v>
      </c>
      <c r="J41" s="9">
        <v>0.8</v>
      </c>
      <c r="K41" s="5">
        <v>2290</v>
      </c>
      <c r="L41" s="5">
        <v>14299</v>
      </c>
      <c r="M41" s="5">
        <f t="shared" si="10"/>
        <v>4400.1654631419915</v>
      </c>
      <c r="N41" s="5">
        <f t="shared" si="11"/>
        <v>8256.3622356495453</v>
      </c>
      <c r="O41">
        <f t="shared" si="12"/>
        <v>7040.9006797583079</v>
      </c>
      <c r="P41">
        <f t="shared" si="13"/>
        <v>1571.5203927492448</v>
      </c>
      <c r="Q41">
        <f t="shared" si="14"/>
        <v>672.00000000000068</v>
      </c>
      <c r="R41">
        <f t="shared" si="15"/>
        <v>506.53802870090635</v>
      </c>
      <c r="S41">
        <f t="shared" si="16"/>
        <v>6128.0000000000018</v>
      </c>
      <c r="T41" s="5">
        <v>339005</v>
      </c>
      <c r="U41" s="5">
        <v>89447</v>
      </c>
      <c r="V41" s="5">
        <v>35475</v>
      </c>
      <c r="W41" s="9">
        <f t="shared" si="2"/>
        <v>463927</v>
      </c>
      <c r="Y41" s="2">
        <f t="shared" si="9"/>
        <v>42874.486799999991</v>
      </c>
      <c r="Z41">
        <v>246.7251510574018</v>
      </c>
      <c r="AA41">
        <v>259.81287764350452</v>
      </c>
      <c r="AB41">
        <v>601.48376132930514</v>
      </c>
      <c r="AC41">
        <v>970.03663141993968</v>
      </c>
      <c r="AD41">
        <v>335.70000000000067</v>
      </c>
      <c r="AE41">
        <v>336.3</v>
      </c>
      <c r="AF41">
        <v>2030.1129706948616</v>
      </c>
      <c r="AG41">
        <v>2370.0524924471301</v>
      </c>
      <c r="AH41">
        <v>3782.6749244712987</v>
      </c>
      <c r="AI41">
        <v>4473.687311178247</v>
      </c>
      <c r="AJ41">
        <v>2768.1489562904085</v>
      </c>
      <c r="AK41">
        <v>3359.8510437095933</v>
      </c>
      <c r="AL41">
        <v>3081.7411253776436</v>
      </c>
      <c r="AM41">
        <v>3959.1595543806648</v>
      </c>
      <c r="AO41" s="9">
        <f t="shared" si="3"/>
        <v>1.0258375992413997</v>
      </c>
      <c r="AP41" s="9">
        <f t="shared" si="4"/>
        <v>1.2345199411926699</v>
      </c>
      <c r="AQ41" s="9">
        <f t="shared" si="5"/>
        <v>1.0008928571428561</v>
      </c>
      <c r="AR41" s="9">
        <f t="shared" si="6"/>
        <v>1.0772560769815984</v>
      </c>
      <c r="AS41" s="9">
        <f t="shared" si="7"/>
        <v>1.0836945336195736</v>
      </c>
      <c r="AT41" s="9">
        <f t="shared" si="8"/>
        <v>1.0965571291480394</v>
      </c>
      <c r="AU41" s="9">
        <f t="shared" si="1"/>
        <v>1.1246173563455437</v>
      </c>
    </row>
    <row r="45" spans="1:47">
      <c r="C45" t="s">
        <v>71</v>
      </c>
    </row>
    <row r="47" spans="1:47">
      <c r="C47" t="s">
        <v>5</v>
      </c>
    </row>
    <row r="48" spans="1:47">
      <c r="K48" t="s">
        <v>2</v>
      </c>
      <c r="L48" t="s">
        <v>3</v>
      </c>
      <c r="M48" t="s">
        <v>12</v>
      </c>
      <c r="N48" t="s">
        <v>13</v>
      </c>
      <c r="O48" t="s">
        <v>14</v>
      </c>
      <c r="P48" t="s">
        <v>15</v>
      </c>
      <c r="Q48" t="s">
        <v>16</v>
      </c>
      <c r="R48" t="s">
        <v>17</v>
      </c>
      <c r="S48" t="s">
        <v>18</v>
      </c>
      <c r="T48" t="s">
        <v>20</v>
      </c>
      <c r="U48" t="s">
        <v>21</v>
      </c>
      <c r="V48" t="s">
        <v>22</v>
      </c>
      <c r="W48" t="s">
        <v>46</v>
      </c>
      <c r="Z48" t="s">
        <v>49</v>
      </c>
      <c r="AA48" t="s">
        <v>50</v>
      </c>
      <c r="AB48" t="s">
        <v>51</v>
      </c>
      <c r="AC48" t="s">
        <v>52</v>
      </c>
      <c r="AD48" t="s">
        <v>53</v>
      </c>
      <c r="AE48" t="s">
        <v>54</v>
      </c>
      <c r="AF48" t="s">
        <v>55</v>
      </c>
      <c r="AG48" t="s">
        <v>56</v>
      </c>
      <c r="AH48" t="s">
        <v>57</v>
      </c>
      <c r="AI48" t="s">
        <v>58</v>
      </c>
      <c r="AJ48" t="s">
        <v>62</v>
      </c>
      <c r="AK48" t="s">
        <v>63</v>
      </c>
      <c r="AL48" t="s">
        <v>66</v>
      </c>
      <c r="AM48" t="s">
        <v>67</v>
      </c>
      <c r="AO48" t="s">
        <v>17</v>
      </c>
      <c r="AP48" t="s">
        <v>15</v>
      </c>
      <c r="AQ48" t="s">
        <v>16</v>
      </c>
      <c r="AR48" t="s">
        <v>12</v>
      </c>
      <c r="AS48" t="s">
        <v>13</v>
      </c>
      <c r="AT48" t="s">
        <v>18</v>
      </c>
      <c r="AU48" t="s">
        <v>14</v>
      </c>
    </row>
    <row r="49" spans="1:52" ht="15.75">
      <c r="A49" s="5">
        <v>10</v>
      </c>
      <c r="B49" s="9">
        <v>2020</v>
      </c>
      <c r="C49" s="9" t="s">
        <v>4</v>
      </c>
      <c r="D49" s="9" t="s">
        <v>39</v>
      </c>
      <c r="E49" s="7" t="s">
        <v>6</v>
      </c>
      <c r="F49" s="7" t="s">
        <v>7</v>
      </c>
      <c r="G49" s="7" t="s">
        <v>8</v>
      </c>
      <c r="H49" s="7" t="s">
        <v>9</v>
      </c>
      <c r="I49" s="9" t="s">
        <v>45</v>
      </c>
      <c r="J49" s="9">
        <v>0.8</v>
      </c>
      <c r="K49" s="5">
        <v>2812</v>
      </c>
      <c r="L49" s="5">
        <v>14229</v>
      </c>
      <c r="M49" s="5">
        <v>4405.1436555891232</v>
      </c>
      <c r="N49" s="5">
        <v>8333.1413897280963</v>
      </c>
      <c r="O49">
        <v>7115.6127818731075</v>
      </c>
      <c r="P49">
        <v>1617.5895015105741</v>
      </c>
      <c r="Q49">
        <v>468.00725075528698</v>
      </c>
      <c r="R49">
        <v>507.99222054380658</v>
      </c>
      <c r="S49">
        <v>6128.0000000000073</v>
      </c>
      <c r="T49" s="5">
        <v>340467</v>
      </c>
      <c r="U49" s="5">
        <v>89447</v>
      </c>
      <c r="V49" s="5">
        <v>35475</v>
      </c>
      <c r="W49" s="9">
        <v>465389</v>
      </c>
      <c r="Y49" s="2">
        <v>42804.486800000006</v>
      </c>
      <c r="Z49">
        <v>251.08772658610269</v>
      </c>
      <c r="AA49">
        <v>256.90449395770389</v>
      </c>
      <c r="AB49">
        <v>693.62197885196383</v>
      </c>
      <c r="AC49">
        <v>923.96752265861028</v>
      </c>
      <c r="AD49">
        <v>223.82114803625376</v>
      </c>
      <c r="AE49">
        <v>244.18610271903322</v>
      </c>
      <c r="AF49">
        <v>2118.8314954682778</v>
      </c>
      <c r="AG49">
        <v>2286.3121601208459</v>
      </c>
      <c r="AH49">
        <v>4013.0123867069483</v>
      </c>
      <c r="AI49">
        <v>4320.1290030211476</v>
      </c>
      <c r="AJ49">
        <v>2768.1489562904062</v>
      </c>
      <c r="AK49">
        <v>3359.8510437096015</v>
      </c>
      <c r="AL49">
        <v>3301.0957326283988</v>
      </c>
      <c r="AM49">
        <v>3814.5170492447082</v>
      </c>
      <c r="AO49" s="9">
        <v>1.0114505048234288</v>
      </c>
      <c r="AP49" s="9">
        <v>1.1424004938159773</v>
      </c>
      <c r="AQ49" s="9">
        <v>1.0435141862650925</v>
      </c>
      <c r="AR49" s="9">
        <v>1.0380193423295228</v>
      </c>
      <c r="AS49" s="9">
        <v>1.0368548428438726</v>
      </c>
      <c r="AT49" s="9">
        <v>1.0965571291480409</v>
      </c>
      <c r="AU49" s="9">
        <v>1.0721541956195593</v>
      </c>
      <c r="AW49" s="17">
        <f>K49/(AA49+AC49+AE49+AG49+AI49+AK49+AM49+K49)</f>
        <v>0.15606730482622577</v>
      </c>
      <c r="AX49" t="str">
        <f>D49</f>
        <v>Interm</v>
      </c>
      <c r="AZ49" t="str">
        <f t="shared" ref="AZ49:AZ62" si="18">F49</f>
        <v>Ref</v>
      </c>
    </row>
    <row r="50" spans="1:52" ht="15.75">
      <c r="A50" s="5"/>
      <c r="B50" s="9">
        <v>2020</v>
      </c>
      <c r="C50" s="9" t="s">
        <v>4</v>
      </c>
      <c r="D50" s="9" t="s">
        <v>39</v>
      </c>
      <c r="E50" s="7" t="s">
        <v>6</v>
      </c>
      <c r="F50" s="5" t="s">
        <v>48</v>
      </c>
      <c r="G50" s="7" t="s">
        <v>8</v>
      </c>
      <c r="H50" s="7" t="s">
        <v>9</v>
      </c>
      <c r="I50" s="9" t="s">
        <v>45</v>
      </c>
      <c r="J50" s="9">
        <v>0.8</v>
      </c>
      <c r="K50" s="5">
        <v>2972</v>
      </c>
      <c r="L50" s="5">
        <v>14299</v>
      </c>
      <c r="M50" s="5">
        <v>6124.0000000000055</v>
      </c>
      <c r="N50" s="5">
        <v>8026.0247734138975</v>
      </c>
      <c r="O50">
        <v>6602.1914652567975</v>
      </c>
      <c r="P50">
        <v>1397.6418995037734</v>
      </c>
      <c r="Q50">
        <v>447.64229607250752</v>
      </c>
      <c r="R50">
        <v>502.17545317220538</v>
      </c>
      <c r="S50">
        <v>5536.2979125808151</v>
      </c>
      <c r="T50" s="5">
        <v>332973</v>
      </c>
      <c r="U50" s="5">
        <v>89477</v>
      </c>
      <c r="V50" s="5">
        <v>35475</v>
      </c>
      <c r="W50" s="9">
        <v>457925</v>
      </c>
      <c r="Y50" s="2">
        <v>42934.973800000007</v>
      </c>
      <c r="Z50">
        <v>248.17934290030209</v>
      </c>
      <c r="AA50">
        <v>253.99611027190329</v>
      </c>
      <c r="AB50">
        <v>601.48376132930514</v>
      </c>
      <c r="AC50">
        <v>796.15813817446815</v>
      </c>
      <c r="AD50">
        <v>213.63867069486403</v>
      </c>
      <c r="AE50">
        <v>234.00362537764349</v>
      </c>
      <c r="AF50">
        <v>2755.8000000000056</v>
      </c>
      <c r="AG50">
        <v>3368.2000000000003</v>
      </c>
      <c r="AH50">
        <v>3859.4540785498489</v>
      </c>
      <c r="AI50">
        <v>4166.5706948640482</v>
      </c>
      <c r="AJ50">
        <v>2768.1489562904089</v>
      </c>
      <c r="AK50">
        <v>2768.1489562904062</v>
      </c>
      <c r="AL50">
        <v>3081.7411253776436</v>
      </c>
      <c r="AM50">
        <v>3520.4503398791539</v>
      </c>
      <c r="AO50" s="9">
        <v>1.0115831375963462</v>
      </c>
      <c r="AP50" s="9">
        <v>1.139287736661502</v>
      </c>
      <c r="AQ50" s="9">
        <v>1.0454938124959505</v>
      </c>
      <c r="AR50" s="9">
        <v>1.0999999999999992</v>
      </c>
      <c r="AS50" s="9">
        <v>1.038265096979456</v>
      </c>
      <c r="AT50" s="9">
        <v>0.99999999999999956</v>
      </c>
      <c r="AU50" s="9">
        <v>1.0664490293579281</v>
      </c>
      <c r="AW50" s="17">
        <f t="shared" ref="AW50:AW62" si="19">K50/(AA50+AC50+AE50+AG50+AI50+AK50+AM50+K50)</f>
        <v>0.16438482366438745</v>
      </c>
      <c r="AX50" t="str">
        <f t="shared" ref="AX50:AX62" si="20">D50</f>
        <v>Interm</v>
      </c>
      <c r="AZ50" t="str">
        <f t="shared" si="18"/>
        <v>Cheap NO ramp</v>
      </c>
    </row>
    <row r="51" spans="1:52" ht="15.75">
      <c r="A51" s="5"/>
      <c r="B51" s="9">
        <v>2020</v>
      </c>
      <c r="C51" s="9" t="s">
        <v>4</v>
      </c>
      <c r="D51" s="9" t="s">
        <v>39</v>
      </c>
      <c r="E51" s="7" t="s">
        <v>6</v>
      </c>
      <c r="F51" s="5" t="s">
        <v>59</v>
      </c>
      <c r="G51" s="7" t="s">
        <v>8</v>
      </c>
      <c r="H51" s="7" t="s">
        <v>9</v>
      </c>
      <c r="I51" s="9" t="s">
        <v>45</v>
      </c>
      <c r="J51" s="9">
        <v>0.8</v>
      </c>
      <c r="K51" s="5">
        <v>2751</v>
      </c>
      <c r="L51" s="5">
        <v>14299</v>
      </c>
      <c r="M51" s="5">
        <v>3902.7016616314199</v>
      </c>
      <c r="N51" s="5">
        <v>11503.999999999967</v>
      </c>
      <c r="O51">
        <v>5730.7597242772244</v>
      </c>
      <c r="P51">
        <v>1064.7601963746224</v>
      </c>
      <c r="Q51">
        <v>406.91238670694861</v>
      </c>
      <c r="R51">
        <v>490.54191842900298</v>
      </c>
      <c r="S51">
        <v>5536.297912580816</v>
      </c>
      <c r="T51" s="5">
        <v>318592</v>
      </c>
      <c r="U51" s="5">
        <v>89447</v>
      </c>
      <c r="V51" s="5">
        <v>35475</v>
      </c>
      <c r="W51" s="9">
        <v>443514</v>
      </c>
      <c r="Y51" s="2">
        <v>42934.973799999992</v>
      </c>
      <c r="Z51">
        <v>242.36257552870089</v>
      </c>
      <c r="AA51">
        <v>248.17934290030209</v>
      </c>
      <c r="AB51">
        <v>417.20732628398792</v>
      </c>
      <c r="AC51">
        <v>647.55287009063443</v>
      </c>
      <c r="AD51">
        <v>193.27371601208458</v>
      </c>
      <c r="AE51">
        <v>213.63867069486403</v>
      </c>
      <c r="AF51">
        <v>1867.6104984894259</v>
      </c>
      <c r="AG51">
        <v>2035.091163141994</v>
      </c>
      <c r="AH51">
        <v>5176.7999999999674</v>
      </c>
      <c r="AI51">
        <v>6327.2000000000007</v>
      </c>
      <c r="AJ51">
        <v>2768.1489562904085</v>
      </c>
      <c r="AK51">
        <v>2768.1489562904071</v>
      </c>
      <c r="AL51">
        <v>2643.0319108761328</v>
      </c>
      <c r="AM51">
        <v>3087.7278134010917</v>
      </c>
      <c r="AO51" s="9">
        <v>1.0118578395710398</v>
      </c>
      <c r="AP51" s="9">
        <v>1.2163356073892926</v>
      </c>
      <c r="AQ51" s="9">
        <v>1.0500475172249941</v>
      </c>
      <c r="AR51" s="9">
        <v>1.0429140321688226</v>
      </c>
      <c r="AS51" s="9">
        <v>1.1000000000000032</v>
      </c>
      <c r="AT51" s="9">
        <v>0.99999999999999967</v>
      </c>
      <c r="AU51" s="9">
        <v>1.0775980714461109</v>
      </c>
      <c r="AW51" s="17">
        <f t="shared" si="19"/>
        <v>0.15216937762062216</v>
      </c>
      <c r="AX51" t="str">
        <f t="shared" si="20"/>
        <v>Interm</v>
      </c>
      <c r="AZ51" t="str">
        <f t="shared" si="18"/>
        <v>Cheap RU ramp</v>
      </c>
    </row>
    <row r="52" spans="1:52" ht="15.75">
      <c r="A52" s="5"/>
      <c r="B52" s="9">
        <v>2020</v>
      </c>
      <c r="C52" s="9" t="s">
        <v>4</v>
      </c>
      <c r="D52" s="9" t="s">
        <v>39</v>
      </c>
      <c r="E52" s="7" t="s">
        <v>6</v>
      </c>
      <c r="F52" s="5" t="s">
        <v>60</v>
      </c>
      <c r="G52" s="7" t="s">
        <v>8</v>
      </c>
      <c r="H52" s="7" t="s">
        <v>9</v>
      </c>
      <c r="I52" s="9" t="s">
        <v>45</v>
      </c>
      <c r="J52" s="9">
        <v>0.8</v>
      </c>
      <c r="K52" s="5">
        <v>3015</v>
      </c>
      <c r="L52" s="5">
        <v>14299</v>
      </c>
      <c r="M52" s="5">
        <v>3567.7403323262843</v>
      </c>
      <c r="N52" s="5">
        <v>6797.5583081570994</v>
      </c>
      <c r="O52">
        <v>11209.999999999982</v>
      </c>
      <c r="P52">
        <v>679.28638590862693</v>
      </c>
      <c r="Q52">
        <v>366.1824773413897</v>
      </c>
      <c r="R52">
        <v>478.90838368580057</v>
      </c>
      <c r="S52">
        <v>5536.2979125808197</v>
      </c>
      <c r="T52" s="5">
        <v>320978</v>
      </c>
      <c r="U52" s="5">
        <v>89448</v>
      </c>
      <c r="V52" s="5">
        <v>35475</v>
      </c>
      <c r="W52" s="9">
        <v>445901</v>
      </c>
      <c r="Y52" s="2">
        <v>42934.9738</v>
      </c>
      <c r="Z52">
        <v>238</v>
      </c>
      <c r="AA52">
        <v>240.9083836858006</v>
      </c>
      <c r="AB52">
        <v>279</v>
      </c>
      <c r="AC52">
        <v>400.28638590862687</v>
      </c>
      <c r="AD52">
        <v>178</v>
      </c>
      <c r="AE52">
        <v>188.18247734138973</v>
      </c>
      <c r="AF52">
        <v>1742</v>
      </c>
      <c r="AG52">
        <v>1825.740332326284</v>
      </c>
      <c r="AH52">
        <v>3322</v>
      </c>
      <c r="AI52">
        <v>3475.5583081570994</v>
      </c>
      <c r="AJ52">
        <v>2768.1489562904062</v>
      </c>
      <c r="AK52">
        <v>2768.148956290413</v>
      </c>
      <c r="AL52">
        <v>5044.9999999999827</v>
      </c>
      <c r="AM52">
        <v>6165</v>
      </c>
      <c r="AO52" s="9">
        <v>1.0060729437714515</v>
      </c>
      <c r="AP52" s="9">
        <v>1.1785497080828313</v>
      </c>
      <c r="AQ52" s="9">
        <v>1.0278071124957098</v>
      </c>
      <c r="AR52" s="9">
        <v>1.0234715322658257</v>
      </c>
      <c r="AS52" s="9">
        <v>1.0225902156621192</v>
      </c>
      <c r="AT52" s="9">
        <v>1.0000000000000011</v>
      </c>
      <c r="AU52" s="9">
        <v>1.0999107939339894</v>
      </c>
      <c r="AW52" s="17">
        <f t="shared" si="19"/>
        <v>0.1667696891841422</v>
      </c>
      <c r="AX52" t="str">
        <f t="shared" si="20"/>
        <v>Interm</v>
      </c>
      <c r="AZ52" t="str">
        <f t="shared" si="18"/>
        <v>Cheap LNG ramp</v>
      </c>
    </row>
    <row r="53" spans="1:52" ht="15.75">
      <c r="A53" s="5"/>
      <c r="B53" s="9">
        <v>2020</v>
      </c>
      <c r="C53" s="9" t="s">
        <v>4</v>
      </c>
      <c r="D53" s="9" t="s">
        <v>39</v>
      </c>
      <c r="E53" s="7" t="s">
        <v>6</v>
      </c>
      <c r="F53" s="5" t="s">
        <v>68</v>
      </c>
      <c r="G53" s="7" t="s">
        <v>8</v>
      </c>
      <c r="H53" s="7" t="s">
        <v>9</v>
      </c>
      <c r="I53" s="9" t="s">
        <v>45</v>
      </c>
      <c r="J53" s="9">
        <v>0.8</v>
      </c>
      <c r="K53" s="5">
        <v>3158</v>
      </c>
      <c r="L53" s="5">
        <v>14299</v>
      </c>
      <c r="M53" s="5">
        <v>4237.6629909365565</v>
      </c>
      <c r="N53" s="5">
        <v>8026.0247734138975</v>
      </c>
      <c r="O53">
        <v>6666.1703738240267</v>
      </c>
      <c r="P53">
        <v>3219.9999999999964</v>
      </c>
      <c r="Q53">
        <v>447.64229607250752</v>
      </c>
      <c r="R53">
        <v>502.17545317220538</v>
      </c>
      <c r="S53">
        <v>5536.2979125808179</v>
      </c>
      <c r="T53" s="5">
        <v>341426</v>
      </c>
      <c r="U53" s="5">
        <v>89448</v>
      </c>
      <c r="V53" s="5">
        <v>35475</v>
      </c>
      <c r="W53" s="9">
        <v>466349</v>
      </c>
      <c r="Y53" s="2">
        <v>42934.973800000007</v>
      </c>
      <c r="Z53">
        <v>248.17934290030209</v>
      </c>
      <c r="AA53">
        <v>253.99611027190329</v>
      </c>
      <c r="AB53">
        <v>1509.0499999999961</v>
      </c>
      <c r="AC53">
        <v>1710.95</v>
      </c>
      <c r="AD53">
        <v>213.63867069486403</v>
      </c>
      <c r="AE53">
        <v>234.00362537764349</v>
      </c>
      <c r="AF53">
        <v>2035.091163141994</v>
      </c>
      <c r="AG53">
        <v>2202.5718277945621</v>
      </c>
      <c r="AH53">
        <v>3859.4540785498489</v>
      </c>
      <c r="AI53">
        <v>4166.5706948640482</v>
      </c>
      <c r="AJ53">
        <v>2768.148956290408</v>
      </c>
      <c r="AK53">
        <v>2768.1489562904098</v>
      </c>
      <c r="AL53">
        <v>3081.7411253776436</v>
      </c>
      <c r="AM53">
        <v>3584.4292484463831</v>
      </c>
      <c r="AO53" s="9">
        <v>1.0115831375963462</v>
      </c>
      <c r="AP53" s="9">
        <v>1.0627018633540386</v>
      </c>
      <c r="AQ53" s="9">
        <v>1.0454938124959505</v>
      </c>
      <c r="AR53" s="9">
        <v>1.0395219405155087</v>
      </c>
      <c r="AS53" s="9">
        <v>1.038265096979456</v>
      </c>
      <c r="AT53" s="9">
        <v>1.0000000000000002</v>
      </c>
      <c r="AU53" s="9">
        <v>1.0754088321898641</v>
      </c>
      <c r="AW53" s="17">
        <f t="shared" si="19"/>
        <v>0.17468098699267431</v>
      </c>
      <c r="AX53" t="str">
        <f t="shared" si="20"/>
        <v>Interm</v>
      </c>
      <c r="AZ53" t="str">
        <f t="shared" si="18"/>
        <v>Cheap DZ ramp</v>
      </c>
    </row>
    <row r="54" spans="1:52" ht="15.75">
      <c r="A54" s="5"/>
      <c r="B54" s="9">
        <v>2020</v>
      </c>
      <c r="C54" s="9" t="s">
        <v>4</v>
      </c>
      <c r="D54" s="9" t="s">
        <v>39</v>
      </c>
      <c r="E54" s="7" t="s">
        <v>6</v>
      </c>
      <c r="F54" s="5" t="s">
        <v>69</v>
      </c>
      <c r="G54" s="7" t="s">
        <v>8</v>
      </c>
      <c r="H54" s="7" t="s">
        <v>9</v>
      </c>
      <c r="I54" s="9" t="s">
        <v>45</v>
      </c>
      <c r="J54" s="9">
        <v>0.8</v>
      </c>
      <c r="K54" s="5">
        <v>2825</v>
      </c>
      <c r="L54" s="5">
        <v>14299</v>
      </c>
      <c r="M54" s="5">
        <v>4405.1436555891232</v>
      </c>
      <c r="N54" s="5">
        <v>8333.1413897280963</v>
      </c>
      <c r="O54">
        <v>7095.6050024169135</v>
      </c>
      <c r="P54">
        <v>1617.5895015105741</v>
      </c>
      <c r="Q54">
        <v>468.00725075528698</v>
      </c>
      <c r="R54">
        <v>528</v>
      </c>
      <c r="S54">
        <v>6128.0000000000073</v>
      </c>
      <c r="T54" s="5">
        <v>338884</v>
      </c>
      <c r="U54" s="5">
        <v>89447</v>
      </c>
      <c r="V54" s="5">
        <v>35475</v>
      </c>
      <c r="W54" s="9">
        <v>463806</v>
      </c>
      <c r="Y54" s="2">
        <v>42874.486800000006</v>
      </c>
      <c r="Z54">
        <v>264</v>
      </c>
      <c r="AA54">
        <v>264</v>
      </c>
      <c r="AB54">
        <v>693.62197885196383</v>
      </c>
      <c r="AC54">
        <v>923.96752265861028</v>
      </c>
      <c r="AD54">
        <v>223.82114803625376</v>
      </c>
      <c r="AE54">
        <v>244.18610271903322</v>
      </c>
      <c r="AF54">
        <v>2118.8314954682778</v>
      </c>
      <c r="AG54">
        <v>2286.3121601208459</v>
      </c>
      <c r="AH54">
        <v>4013.0123867069483</v>
      </c>
      <c r="AI54">
        <v>4320.1290030211476</v>
      </c>
      <c r="AJ54">
        <v>2768.1489562904062</v>
      </c>
      <c r="AK54">
        <v>3359.8510437096011</v>
      </c>
      <c r="AL54">
        <v>3301.0957326283988</v>
      </c>
      <c r="AM54">
        <v>3794.5092697885148</v>
      </c>
      <c r="AO54" s="9">
        <v>1</v>
      </c>
      <c r="AP54" s="9">
        <v>1.1424004938159773</v>
      </c>
      <c r="AQ54" s="9">
        <v>1.0435141862650925</v>
      </c>
      <c r="AR54" s="9">
        <v>1.0380193423295228</v>
      </c>
      <c r="AS54" s="9">
        <v>1.0368548428438726</v>
      </c>
      <c r="AT54" s="9">
        <v>1.0965571291480409</v>
      </c>
      <c r="AU54" s="9">
        <v>1.0695379093103476</v>
      </c>
      <c r="AW54" s="17">
        <f t="shared" si="19"/>
        <v>0.15678804747846445</v>
      </c>
      <c r="AX54" t="str">
        <f t="shared" si="20"/>
        <v>Interm</v>
      </c>
      <c r="AZ54" t="str">
        <f t="shared" si="18"/>
        <v>Cheap AZ ramp</v>
      </c>
    </row>
    <row r="55" spans="1:52" ht="15.75">
      <c r="A55" s="5"/>
      <c r="B55" s="9">
        <v>2020</v>
      </c>
      <c r="C55" s="9" t="s">
        <v>4</v>
      </c>
      <c r="D55" s="9" t="s">
        <v>39</v>
      </c>
      <c r="E55" s="7" t="s">
        <v>6</v>
      </c>
      <c r="F55" s="5" t="s">
        <v>70</v>
      </c>
      <c r="G55" s="7" t="s">
        <v>8</v>
      </c>
      <c r="H55" s="7" t="s">
        <v>9</v>
      </c>
      <c r="I55" s="9" t="s">
        <v>45</v>
      </c>
      <c r="J55" s="9">
        <v>0.8</v>
      </c>
      <c r="K55" s="5">
        <v>2924</v>
      </c>
      <c r="L55" s="5">
        <v>14299</v>
      </c>
      <c r="M55" s="5">
        <v>4405.1436555891232</v>
      </c>
      <c r="N55" s="5">
        <v>8333.1413897280963</v>
      </c>
      <c r="O55">
        <v>7040.9006797583079</v>
      </c>
      <c r="P55">
        <v>1571.5203927492448</v>
      </c>
      <c r="Q55">
        <v>672.00000000000068</v>
      </c>
      <c r="R55">
        <v>507.99222054380658</v>
      </c>
      <c r="S55">
        <v>6081.0806616314239</v>
      </c>
      <c r="T55" s="5">
        <v>339303</v>
      </c>
      <c r="U55" s="5">
        <v>89448</v>
      </c>
      <c r="V55" s="5">
        <v>35475</v>
      </c>
      <c r="W55" s="9">
        <v>464226</v>
      </c>
      <c r="Y55" s="2">
        <v>42910.779000000002</v>
      </c>
      <c r="Z55">
        <v>251.08772658610269</v>
      </c>
      <c r="AA55">
        <v>256.90449395770389</v>
      </c>
      <c r="AB55">
        <v>693.62197885196383</v>
      </c>
      <c r="AC55">
        <v>877.89841389728099</v>
      </c>
      <c r="AD55">
        <v>335.70000000000067</v>
      </c>
      <c r="AE55">
        <v>336.3</v>
      </c>
      <c r="AF55">
        <v>2118.8314954682778</v>
      </c>
      <c r="AG55">
        <v>2286.3121601208459</v>
      </c>
      <c r="AH55">
        <v>4013.0123867069483</v>
      </c>
      <c r="AI55">
        <v>4320.1290030211476</v>
      </c>
      <c r="AJ55">
        <v>2768.1489562904076</v>
      </c>
      <c r="AK55">
        <v>3312.9317053410164</v>
      </c>
      <c r="AL55">
        <v>3301.0957326283988</v>
      </c>
      <c r="AM55">
        <v>3739.8049471299091</v>
      </c>
      <c r="AO55" s="9">
        <v>1.0114505048234288</v>
      </c>
      <c r="AP55" s="9">
        <v>1.1172599705963349</v>
      </c>
      <c r="AQ55" s="9">
        <v>1.0008928571428561</v>
      </c>
      <c r="AR55" s="9">
        <v>1.0380193423295228</v>
      </c>
      <c r="AS55" s="9">
        <v>1.0368548428438726</v>
      </c>
      <c r="AT55" s="9">
        <v>1.0895865026898781</v>
      </c>
      <c r="AU55" s="9">
        <v>1.0623086781727717</v>
      </c>
      <c r="AW55" s="17">
        <f t="shared" si="19"/>
        <v>0.16195605046725736</v>
      </c>
      <c r="AX55" t="str">
        <f t="shared" si="20"/>
        <v>Interm</v>
      </c>
      <c r="AZ55" t="str">
        <f t="shared" si="18"/>
        <v>Cheap LY ramp</v>
      </c>
    </row>
    <row r="56" spans="1:52" ht="15.75">
      <c r="A56" s="5"/>
      <c r="B56" s="9">
        <v>2020</v>
      </c>
      <c r="C56" s="9" t="s">
        <v>4</v>
      </c>
      <c r="D56" s="9" t="s">
        <v>39</v>
      </c>
      <c r="E56" s="7" t="s">
        <v>6</v>
      </c>
      <c r="F56" s="7" t="s">
        <v>7</v>
      </c>
      <c r="G56" s="7" t="s">
        <v>8</v>
      </c>
      <c r="H56" s="7" t="s">
        <v>9</v>
      </c>
      <c r="I56" s="9" t="s">
        <v>47</v>
      </c>
      <c r="J56" s="9">
        <v>0.8</v>
      </c>
      <c r="K56" s="5">
        <v>2250</v>
      </c>
      <c r="L56" s="5">
        <v>14299</v>
      </c>
      <c r="M56" s="5">
        <v>4405.1436555891241</v>
      </c>
      <c r="N56" s="5">
        <v>8333.1413897280963</v>
      </c>
      <c r="O56">
        <v>7115.6127818731056</v>
      </c>
      <c r="P56">
        <v>1617.5895015105741</v>
      </c>
      <c r="Q56">
        <v>468.00725075528698</v>
      </c>
      <c r="R56">
        <v>507.99222054380664</v>
      </c>
      <c r="S56">
        <v>6128.0000000000073</v>
      </c>
      <c r="T56" s="5">
        <v>340919</v>
      </c>
      <c r="U56" s="5">
        <v>89447</v>
      </c>
      <c r="V56" s="5">
        <v>35475</v>
      </c>
      <c r="W56" s="9">
        <v>465841</v>
      </c>
      <c r="Y56" s="2">
        <v>42874.486799999999</v>
      </c>
      <c r="Z56">
        <v>248.17934290030209</v>
      </c>
      <c r="AA56">
        <v>259.81287764350452</v>
      </c>
      <c r="AB56">
        <v>601.48376132930514</v>
      </c>
      <c r="AC56">
        <v>1016.105740181269</v>
      </c>
      <c r="AD56">
        <v>213.63867069486403</v>
      </c>
      <c r="AE56">
        <v>254.36858006042294</v>
      </c>
      <c r="AF56">
        <v>2035.091163141994</v>
      </c>
      <c r="AG56">
        <v>2370.0524924471301</v>
      </c>
      <c r="AH56">
        <v>3859.4540785498489</v>
      </c>
      <c r="AI56">
        <v>4473.687311178247</v>
      </c>
      <c r="AJ56">
        <v>2768.1489562904076</v>
      </c>
      <c r="AK56">
        <v>3359.8510437096002</v>
      </c>
      <c r="AL56">
        <v>3081.7411253776436</v>
      </c>
      <c r="AM56">
        <v>4033.871656495462</v>
      </c>
      <c r="AO56" s="9">
        <v>1.0229010096468578</v>
      </c>
      <c r="AP56" s="9">
        <v>1.2563208888687594</v>
      </c>
      <c r="AQ56" s="9">
        <v>1.0870283725301852</v>
      </c>
      <c r="AR56" s="9">
        <v>1.0760386846590455</v>
      </c>
      <c r="AS56" s="9">
        <v>1.0737096856877451</v>
      </c>
      <c r="AT56" s="9">
        <v>1.0965571291480405</v>
      </c>
      <c r="AU56" s="9">
        <v>1.1338086487144654</v>
      </c>
      <c r="AW56" s="17">
        <f t="shared" si="19"/>
        <v>0.1248768596105959</v>
      </c>
      <c r="AX56" t="str">
        <f t="shared" si="20"/>
        <v>Interm</v>
      </c>
      <c r="AZ56" t="str">
        <f t="shared" si="18"/>
        <v>Ref</v>
      </c>
    </row>
    <row r="57" spans="1:52" ht="15.75">
      <c r="A57" s="5"/>
      <c r="B57" s="9">
        <v>2020</v>
      </c>
      <c r="C57" s="9" t="s">
        <v>4</v>
      </c>
      <c r="D57" s="9" t="s">
        <v>39</v>
      </c>
      <c r="E57" s="7" t="s">
        <v>6</v>
      </c>
      <c r="F57" s="5" t="s">
        <v>48</v>
      </c>
      <c r="G57" s="7" t="s">
        <v>8</v>
      </c>
      <c r="H57" s="7" t="s">
        <v>9</v>
      </c>
      <c r="I57" s="9" t="s">
        <v>47</v>
      </c>
      <c r="J57" s="9">
        <v>0.8</v>
      </c>
      <c r="K57" s="5">
        <v>2493</v>
      </c>
      <c r="L57" s="5">
        <v>14299</v>
      </c>
      <c r="M57" s="5">
        <v>6123.9999999999991</v>
      </c>
      <c r="N57" s="5">
        <v>8026.0247734138966</v>
      </c>
      <c r="O57">
        <v>6602.1914652567975</v>
      </c>
      <c r="P57">
        <v>1387.2439577039277</v>
      </c>
      <c r="Q57">
        <v>447.64229607250752</v>
      </c>
      <c r="R57">
        <v>502.17545317220538</v>
      </c>
      <c r="S57">
        <v>5546.6958543806668</v>
      </c>
      <c r="T57" s="5">
        <v>333161</v>
      </c>
      <c r="U57" s="5">
        <v>89448</v>
      </c>
      <c r="V57" s="5">
        <v>35475</v>
      </c>
      <c r="W57" s="9">
        <v>458084</v>
      </c>
      <c r="Y57" s="2">
        <v>42934.9738</v>
      </c>
      <c r="Z57">
        <v>245.27095921450149</v>
      </c>
      <c r="AA57">
        <v>256.90449395770389</v>
      </c>
      <c r="AB57">
        <v>509.34554380664656</v>
      </c>
      <c r="AC57">
        <v>877.89841389728099</v>
      </c>
      <c r="AD57">
        <v>203.4561933534743</v>
      </c>
      <c r="AE57">
        <v>244.18610271903322</v>
      </c>
      <c r="AF57">
        <v>2755.7999999999988</v>
      </c>
      <c r="AG57">
        <v>3368.2000000000003</v>
      </c>
      <c r="AH57">
        <v>3705.895770392749</v>
      </c>
      <c r="AI57">
        <v>4320.1290030211476</v>
      </c>
      <c r="AJ57">
        <v>2768.1489562904089</v>
      </c>
      <c r="AK57">
        <v>2778.5468980902579</v>
      </c>
      <c r="AL57">
        <v>2862.3865181268884</v>
      </c>
      <c r="AM57">
        <v>3739.8049471299091</v>
      </c>
      <c r="AO57" s="9">
        <v>1.0231662751926927</v>
      </c>
      <c r="AP57" s="9">
        <v>1.2656727160669261</v>
      </c>
      <c r="AQ57" s="9">
        <v>1.0909876249919013</v>
      </c>
      <c r="AR57" s="9">
        <v>1.1000000000000003</v>
      </c>
      <c r="AS57" s="9">
        <v>1.076530193958912</v>
      </c>
      <c r="AT57" s="9">
        <v>1.0018746190656256</v>
      </c>
      <c r="AU57" s="9">
        <v>1.1328980587158559</v>
      </c>
      <c r="AW57" s="17">
        <f t="shared" si="19"/>
        <v>0.13789731321324999</v>
      </c>
      <c r="AX57" t="str">
        <f t="shared" si="20"/>
        <v>Interm</v>
      </c>
      <c r="AZ57" t="str">
        <f t="shared" si="18"/>
        <v>Cheap NO ramp</v>
      </c>
    </row>
    <row r="58" spans="1:52" ht="15.75">
      <c r="A58" s="5"/>
      <c r="B58" s="9">
        <v>2020</v>
      </c>
      <c r="C58" s="9" t="s">
        <v>4</v>
      </c>
      <c r="D58" s="9" t="s">
        <v>39</v>
      </c>
      <c r="E58" s="7" t="s">
        <v>6</v>
      </c>
      <c r="F58" s="5" t="s">
        <v>59</v>
      </c>
      <c r="G58" s="7" t="s">
        <v>8</v>
      </c>
      <c r="H58" s="7" t="s">
        <v>9</v>
      </c>
      <c r="I58" s="9" t="s">
        <v>47</v>
      </c>
      <c r="J58" s="9">
        <v>0.8</v>
      </c>
      <c r="K58" s="5">
        <v>2343</v>
      </c>
      <c r="L58" s="5">
        <v>14299</v>
      </c>
      <c r="M58" s="5">
        <v>3902.7016616314195</v>
      </c>
      <c r="N58" s="5">
        <v>11503.999999999985</v>
      </c>
      <c r="O58">
        <v>5776.8288330385367</v>
      </c>
      <c r="P58">
        <v>1018.6910876132931</v>
      </c>
      <c r="Q58">
        <v>406.91238670694861</v>
      </c>
      <c r="R58">
        <v>490.54191842900298</v>
      </c>
      <c r="S58">
        <v>5536.2979125808133</v>
      </c>
      <c r="T58" s="5">
        <v>318911</v>
      </c>
      <c r="U58" s="5">
        <v>89448</v>
      </c>
      <c r="V58" s="5">
        <v>35475</v>
      </c>
      <c r="W58" s="9">
        <v>443834</v>
      </c>
      <c r="Y58" s="2">
        <v>42934.9738</v>
      </c>
      <c r="Z58">
        <v>239.45419184290029</v>
      </c>
      <c r="AA58">
        <v>251.08772658610269</v>
      </c>
      <c r="AB58">
        <v>325.06910876132929</v>
      </c>
      <c r="AC58">
        <v>693.62197885196383</v>
      </c>
      <c r="AD58">
        <v>183.09123867069485</v>
      </c>
      <c r="AE58">
        <v>223.82114803625376</v>
      </c>
      <c r="AF58">
        <v>1783.8701661631419</v>
      </c>
      <c r="AG58">
        <v>2118.8314954682778</v>
      </c>
      <c r="AH58">
        <v>5176.7999999999847</v>
      </c>
      <c r="AI58">
        <v>6327.2000000000007</v>
      </c>
      <c r="AJ58">
        <v>2768.148956290408</v>
      </c>
      <c r="AK58">
        <v>2768.1489562904053</v>
      </c>
      <c r="AL58">
        <v>2423.6773036253776</v>
      </c>
      <c r="AM58">
        <v>3353.1515294131591</v>
      </c>
      <c r="AO58" s="9">
        <v>1.0237156791420796</v>
      </c>
      <c r="AP58" s="9">
        <v>1.3617906100995962</v>
      </c>
      <c r="AQ58" s="9">
        <v>1.100095034449988</v>
      </c>
      <c r="AR58" s="9">
        <v>1.0858280643376452</v>
      </c>
      <c r="AS58" s="9">
        <v>1.1000000000000014</v>
      </c>
      <c r="AT58" s="9">
        <v>0.99999999999999956</v>
      </c>
      <c r="AU58" s="9">
        <v>1.160896964866257</v>
      </c>
      <c r="AW58" s="17">
        <f t="shared" si="19"/>
        <v>0.12959885925512399</v>
      </c>
      <c r="AX58" t="str">
        <f t="shared" si="20"/>
        <v>Interm</v>
      </c>
      <c r="AZ58" t="str">
        <f t="shared" si="18"/>
        <v>Cheap RU ramp</v>
      </c>
    </row>
    <row r="59" spans="1:52" ht="15.75">
      <c r="A59" s="5"/>
      <c r="B59" s="9">
        <v>2020</v>
      </c>
      <c r="C59" s="9" t="s">
        <v>4</v>
      </c>
      <c r="D59" s="9" t="s">
        <v>39</v>
      </c>
      <c r="E59" s="7" t="s">
        <v>6</v>
      </c>
      <c r="F59" s="5" t="s">
        <v>60</v>
      </c>
      <c r="G59" s="7" t="s">
        <v>8</v>
      </c>
      <c r="H59" s="7" t="s">
        <v>9</v>
      </c>
      <c r="I59" s="9" t="s">
        <v>47</v>
      </c>
      <c r="J59" s="9">
        <v>0.8</v>
      </c>
      <c r="K59" s="5">
        <v>2873</v>
      </c>
      <c r="L59" s="5">
        <v>14299</v>
      </c>
      <c r="M59" s="5">
        <v>3609.6104984894259</v>
      </c>
      <c r="N59" s="5">
        <v>6874.3374622356496</v>
      </c>
      <c r="O59">
        <v>11067.884308869336</v>
      </c>
      <c r="P59">
        <v>696.20732628398787</v>
      </c>
      <c r="Q59">
        <v>371.27371601208461</v>
      </c>
      <c r="R59">
        <v>480.36257552870086</v>
      </c>
      <c r="S59">
        <v>5536.2979125808142</v>
      </c>
      <c r="T59" s="5">
        <v>321101</v>
      </c>
      <c r="U59" s="5">
        <v>89447</v>
      </c>
      <c r="V59" s="5">
        <v>35475</v>
      </c>
      <c r="W59" s="9">
        <v>446023</v>
      </c>
      <c r="Y59" s="2">
        <v>42934.973799999992</v>
      </c>
      <c r="Z59">
        <v>238</v>
      </c>
      <c r="AA59">
        <v>242.36257552870089</v>
      </c>
      <c r="AB59">
        <v>279</v>
      </c>
      <c r="AC59">
        <v>417.20732628398792</v>
      </c>
      <c r="AD59">
        <v>178</v>
      </c>
      <c r="AE59">
        <v>193.27371601208458</v>
      </c>
      <c r="AF59">
        <v>1742</v>
      </c>
      <c r="AG59">
        <v>1867.6104984894259</v>
      </c>
      <c r="AH59">
        <v>3322</v>
      </c>
      <c r="AI59">
        <v>3552.3374622356496</v>
      </c>
      <c r="AJ59">
        <v>2768.1489562904067</v>
      </c>
      <c r="AK59">
        <v>2768.1489562904076</v>
      </c>
      <c r="AL59">
        <v>4902.8843088693366</v>
      </c>
      <c r="AM59">
        <v>6165</v>
      </c>
      <c r="AO59" s="9">
        <v>1.0090818389086604</v>
      </c>
      <c r="AP59" s="9">
        <v>1.1985146106141553</v>
      </c>
      <c r="AQ59" s="9">
        <v>1.0411386945893779</v>
      </c>
      <c r="AR59" s="9">
        <v>1.0347989065695571</v>
      </c>
      <c r="AS59" s="9">
        <v>1.0335068598975559</v>
      </c>
      <c r="AT59" s="9">
        <v>1.0000000000000002</v>
      </c>
      <c r="AU59" s="9">
        <v>1.1140340516677842</v>
      </c>
      <c r="AW59" s="17">
        <f t="shared" si="19"/>
        <v>0.15891417942679711</v>
      </c>
      <c r="AX59" t="str">
        <f t="shared" si="20"/>
        <v>Interm</v>
      </c>
      <c r="AZ59" t="str">
        <f t="shared" si="18"/>
        <v>Cheap LNG ramp</v>
      </c>
    </row>
    <row r="60" spans="1:52" ht="15.75">
      <c r="A60" s="5"/>
      <c r="B60" s="9">
        <v>2020</v>
      </c>
      <c r="C60" s="9" t="s">
        <v>4</v>
      </c>
      <c r="D60" s="9" t="s">
        <v>39</v>
      </c>
      <c r="E60" s="7" t="s">
        <v>6</v>
      </c>
      <c r="F60" s="5" t="s">
        <v>68</v>
      </c>
      <c r="G60" s="7" t="s">
        <v>8</v>
      </c>
      <c r="H60" s="7" t="s">
        <v>9</v>
      </c>
      <c r="I60" s="9" t="s">
        <v>47</v>
      </c>
      <c r="J60" s="9">
        <v>0.8</v>
      </c>
      <c r="K60" s="5">
        <v>2688</v>
      </c>
      <c r="L60" s="5">
        <v>14299</v>
      </c>
      <c r="M60" s="5">
        <v>4237.6629909365556</v>
      </c>
      <c r="N60" s="5">
        <v>8026.0247734138966</v>
      </c>
      <c r="O60">
        <v>6602.1914652567975</v>
      </c>
      <c r="P60">
        <v>3219.9999999999973</v>
      </c>
      <c r="Q60">
        <v>447.64229607250752</v>
      </c>
      <c r="R60">
        <v>502.17545317220538</v>
      </c>
      <c r="S60">
        <v>5590.3068066980468</v>
      </c>
      <c r="T60" s="5">
        <v>340895</v>
      </c>
      <c r="U60" s="5">
        <v>89448</v>
      </c>
      <c r="V60" s="5">
        <v>35475</v>
      </c>
      <c r="W60" s="9">
        <v>465818</v>
      </c>
      <c r="Y60" s="2">
        <v>42925.003785550012</v>
      </c>
      <c r="Z60">
        <v>245.27095921450149</v>
      </c>
      <c r="AA60">
        <v>256.90449395770389</v>
      </c>
      <c r="AB60">
        <v>1509.049999999997</v>
      </c>
      <c r="AC60">
        <v>1710.95</v>
      </c>
      <c r="AD60">
        <v>203.4561933534743</v>
      </c>
      <c r="AE60">
        <v>244.18610271903322</v>
      </c>
      <c r="AF60">
        <v>1951.35083081571</v>
      </c>
      <c r="AG60">
        <v>2286.3121601208459</v>
      </c>
      <c r="AH60">
        <v>3705.895770392749</v>
      </c>
      <c r="AI60">
        <v>4320.1290030211476</v>
      </c>
      <c r="AJ60">
        <v>2768.1489562904085</v>
      </c>
      <c r="AK60">
        <v>2822.1578504076379</v>
      </c>
      <c r="AL60">
        <v>2862.3865181268884</v>
      </c>
      <c r="AM60">
        <v>3739.8049471299091</v>
      </c>
      <c r="AO60" s="9">
        <v>1.0231662751926927</v>
      </c>
      <c r="AP60" s="9">
        <v>1.0627018633540382</v>
      </c>
      <c r="AQ60" s="9">
        <v>1.0909876249919013</v>
      </c>
      <c r="AR60" s="9">
        <v>1.0790438810310179</v>
      </c>
      <c r="AS60" s="9">
        <v>1.076530193958912</v>
      </c>
      <c r="AT60" s="9">
        <v>1.0096611681585199</v>
      </c>
      <c r="AU60" s="9">
        <v>1.1328980587158559</v>
      </c>
      <c r="AW60" s="17">
        <f t="shared" si="19"/>
        <v>0.1487676480101672</v>
      </c>
      <c r="AX60" t="str">
        <f t="shared" si="20"/>
        <v>Interm</v>
      </c>
      <c r="AZ60" t="str">
        <f t="shared" si="18"/>
        <v>Cheap DZ ramp</v>
      </c>
    </row>
    <row r="61" spans="1:52" ht="15.75">
      <c r="A61" s="5"/>
      <c r="B61" s="9">
        <v>2020</v>
      </c>
      <c r="C61" s="9" t="s">
        <v>4</v>
      </c>
      <c r="D61" s="9" t="s">
        <v>39</v>
      </c>
      <c r="E61" s="7" t="s">
        <v>6</v>
      </c>
      <c r="F61" s="5" t="s">
        <v>69</v>
      </c>
      <c r="G61" s="7" t="s">
        <v>8</v>
      </c>
      <c r="H61" s="7" t="s">
        <v>9</v>
      </c>
      <c r="I61" s="9" t="s">
        <v>47</v>
      </c>
      <c r="J61" s="9">
        <v>0.8</v>
      </c>
      <c r="K61" s="5">
        <v>2266</v>
      </c>
      <c r="L61" s="5">
        <v>14299</v>
      </c>
      <c r="M61" s="5">
        <v>4405.1436555891241</v>
      </c>
      <c r="N61" s="5">
        <v>8333.1413897280963</v>
      </c>
      <c r="O61">
        <v>7095.6050024169199</v>
      </c>
      <c r="P61">
        <v>1617.5895015105741</v>
      </c>
      <c r="Q61">
        <v>468.00725075528698</v>
      </c>
      <c r="R61">
        <v>528</v>
      </c>
      <c r="S61">
        <v>6128</v>
      </c>
      <c r="T61" s="5">
        <v>339329</v>
      </c>
      <c r="U61" s="5">
        <v>89448</v>
      </c>
      <c r="V61" s="5">
        <v>35475</v>
      </c>
      <c r="W61" s="9">
        <v>464252</v>
      </c>
      <c r="Y61" s="2">
        <v>42874.486799999999</v>
      </c>
      <c r="Z61">
        <v>264</v>
      </c>
      <c r="AA61">
        <v>264</v>
      </c>
      <c r="AB61">
        <v>601.48376132930514</v>
      </c>
      <c r="AC61">
        <v>1016.105740181269</v>
      </c>
      <c r="AD61">
        <v>213.63867069486403</v>
      </c>
      <c r="AE61">
        <v>254.36858006042294</v>
      </c>
      <c r="AF61">
        <v>2035.091163141994</v>
      </c>
      <c r="AG61">
        <v>2370.0524924471301</v>
      </c>
      <c r="AH61">
        <v>3859.4540785498489</v>
      </c>
      <c r="AI61">
        <v>4473.687311178247</v>
      </c>
      <c r="AJ61">
        <v>2768.1489562904071</v>
      </c>
      <c r="AK61">
        <v>3359.8510437095929</v>
      </c>
      <c r="AL61">
        <v>3081.7411253776436</v>
      </c>
      <c r="AM61">
        <v>4013.8638770392768</v>
      </c>
      <c r="AO61" s="9">
        <v>1</v>
      </c>
      <c r="AP61" s="9">
        <v>1.2563208888687594</v>
      </c>
      <c r="AQ61" s="9">
        <v>1.0870283725301852</v>
      </c>
      <c r="AR61" s="9">
        <v>1.0760386846590455</v>
      </c>
      <c r="AS61" s="9">
        <v>1.0737096856877451</v>
      </c>
      <c r="AT61" s="9">
        <v>1.0965571291480394</v>
      </c>
      <c r="AU61" s="9">
        <v>1.1313662120910242</v>
      </c>
      <c r="AW61" s="17">
        <f t="shared" si="19"/>
        <v>0.12576362102375568</v>
      </c>
      <c r="AX61" t="str">
        <f t="shared" si="20"/>
        <v>Interm</v>
      </c>
      <c r="AZ61" t="str">
        <f t="shared" si="18"/>
        <v>Cheap AZ ramp</v>
      </c>
    </row>
    <row r="62" spans="1:52" ht="15.75">
      <c r="A62" s="5"/>
      <c r="B62" s="9">
        <v>2020</v>
      </c>
      <c r="C62" s="9" t="s">
        <v>4</v>
      </c>
      <c r="D62" s="9" t="s">
        <v>39</v>
      </c>
      <c r="E62" s="7" t="s">
        <v>6</v>
      </c>
      <c r="F62" s="5" t="s">
        <v>70</v>
      </c>
      <c r="G62" s="7" t="s">
        <v>8</v>
      </c>
      <c r="H62" s="7" t="s">
        <v>9</v>
      </c>
      <c r="I62" s="9" t="s">
        <v>47</v>
      </c>
      <c r="J62" s="9">
        <v>0.8</v>
      </c>
      <c r="K62" s="5">
        <v>2290</v>
      </c>
      <c r="L62" s="5">
        <v>14299</v>
      </c>
      <c r="M62" s="5">
        <v>4400.1654631419915</v>
      </c>
      <c r="N62" s="5">
        <v>8256.3622356495453</v>
      </c>
      <c r="O62">
        <v>7040.9006797583079</v>
      </c>
      <c r="P62">
        <v>1571.5203927492448</v>
      </c>
      <c r="Q62">
        <v>672.00000000000068</v>
      </c>
      <c r="R62">
        <v>506.53802870090635</v>
      </c>
      <c r="S62">
        <v>6128.0000000000018</v>
      </c>
      <c r="T62" s="5">
        <v>339005</v>
      </c>
      <c r="U62" s="5">
        <v>89447</v>
      </c>
      <c r="V62" s="5">
        <v>35475</v>
      </c>
      <c r="W62" s="9">
        <v>463927</v>
      </c>
      <c r="Y62" s="2">
        <v>42874.486799999991</v>
      </c>
      <c r="Z62">
        <v>246.7251510574018</v>
      </c>
      <c r="AA62">
        <v>259.81287764350452</v>
      </c>
      <c r="AB62">
        <v>601.48376132930514</v>
      </c>
      <c r="AC62">
        <v>970.03663141993968</v>
      </c>
      <c r="AD62">
        <v>335.70000000000067</v>
      </c>
      <c r="AE62">
        <v>336.3</v>
      </c>
      <c r="AF62">
        <v>2030.1129706948616</v>
      </c>
      <c r="AG62">
        <v>2370.0524924471301</v>
      </c>
      <c r="AH62">
        <v>3782.6749244712987</v>
      </c>
      <c r="AI62">
        <v>4473.687311178247</v>
      </c>
      <c r="AJ62">
        <v>2768.1489562904085</v>
      </c>
      <c r="AK62">
        <v>3359.8510437095933</v>
      </c>
      <c r="AL62">
        <v>3081.7411253776436</v>
      </c>
      <c r="AM62">
        <v>3959.1595543806648</v>
      </c>
      <c r="AO62" s="9">
        <v>1.0258375992413997</v>
      </c>
      <c r="AP62" s="9">
        <v>1.2345199411926699</v>
      </c>
      <c r="AQ62" s="9">
        <v>1.0008928571428561</v>
      </c>
      <c r="AR62" s="9">
        <v>1.0772560769815984</v>
      </c>
      <c r="AS62" s="9">
        <v>1.0836945336195736</v>
      </c>
      <c r="AT62" s="9">
        <v>1.0965571291480394</v>
      </c>
      <c r="AU62" s="9">
        <v>1.1246173563455437</v>
      </c>
      <c r="AW62" s="17">
        <f t="shared" si="19"/>
        <v>0.1270887796335502</v>
      </c>
      <c r="AX62" t="str">
        <f t="shared" si="20"/>
        <v>Interm</v>
      </c>
      <c r="AZ62" t="str">
        <f t="shared" si="18"/>
        <v>Cheap LY ramp</v>
      </c>
    </row>
    <row r="116" spans="3:119">
      <c r="C116" t="s">
        <v>72</v>
      </c>
      <c r="AZ116" t="s">
        <v>73</v>
      </c>
    </row>
    <row r="119" spans="3:119">
      <c r="BU119" t="s">
        <v>74</v>
      </c>
      <c r="CR119" t="s">
        <v>75</v>
      </c>
      <c r="DL119" s="5"/>
      <c r="DO119" t="s">
        <v>74</v>
      </c>
    </row>
    <row r="120" spans="3:119">
      <c r="DL120" s="5"/>
    </row>
  </sheetData>
  <mergeCells count="4">
    <mergeCell ref="C2:D2"/>
    <mergeCell ref="F2:I2"/>
    <mergeCell ref="M2:S2"/>
    <mergeCell ref="T2:V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DO120"/>
  <sheetViews>
    <sheetView topLeftCell="A19" zoomScale="40" zoomScaleNormal="40" workbookViewId="0">
      <selection activeCell="H53" sqref="H53"/>
    </sheetView>
  </sheetViews>
  <sheetFormatPr defaultRowHeight="15"/>
  <cols>
    <col min="1" max="1" width="3.44140625" bestFit="1" customWidth="1"/>
    <col min="2" max="2" width="5" bestFit="1" customWidth="1"/>
    <col min="3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10" width="6.109375" customWidth="1"/>
    <col min="11" max="11" width="8.44140625" bestFit="1" customWidth="1"/>
    <col min="12" max="12" width="8.6640625" bestFit="1" customWidth="1"/>
    <col min="13" max="15" width="7" customWidth="1"/>
    <col min="16" max="19" width="5.5546875" customWidth="1"/>
    <col min="20" max="22" width="7.77734375" customWidth="1"/>
    <col min="23" max="23" width="8.44140625" customWidth="1"/>
    <col min="24" max="24" width="5.109375" customWidth="1"/>
    <col min="25" max="25" width="10" bestFit="1" customWidth="1"/>
  </cols>
  <sheetData>
    <row r="2" spans="1:47" ht="15.75">
      <c r="C2" s="47" t="s">
        <v>28</v>
      </c>
      <c r="D2" s="47"/>
      <c r="F2" s="47" t="s">
        <v>23</v>
      </c>
      <c r="G2" s="47"/>
      <c r="H2" s="47"/>
      <c r="I2" s="47"/>
      <c r="J2" s="15"/>
      <c r="M2" s="47" t="s">
        <v>11</v>
      </c>
      <c r="N2" s="47"/>
      <c r="O2" s="47"/>
      <c r="P2" s="47"/>
      <c r="Q2" s="47"/>
      <c r="R2" s="47"/>
      <c r="S2" s="47"/>
      <c r="T2" s="47" t="s">
        <v>19</v>
      </c>
      <c r="U2" s="47"/>
      <c r="V2" s="47"/>
    </row>
    <row r="3" spans="1:47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K3" s="1" t="s">
        <v>2</v>
      </c>
      <c r="L3" s="1" t="s">
        <v>3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20</v>
      </c>
      <c r="U3" s="1" t="s">
        <v>21</v>
      </c>
      <c r="V3" s="1" t="s">
        <v>22</v>
      </c>
      <c r="W3" s="1" t="s">
        <v>46</v>
      </c>
      <c r="AO3" s="1" t="s">
        <v>61</v>
      </c>
    </row>
    <row r="4" spans="1:47" s="1" customFormat="1" ht="15.75">
      <c r="J4" s="1" t="s">
        <v>64</v>
      </c>
      <c r="K4" s="1">
        <v>5082</v>
      </c>
      <c r="L4" s="1">
        <v>16515</v>
      </c>
      <c r="M4" s="1">
        <v>6776</v>
      </c>
      <c r="N4" s="1">
        <v>9592</v>
      </c>
      <c r="O4" s="1">
        <v>8190</v>
      </c>
      <c r="P4" s="1">
        <v>2092</v>
      </c>
      <c r="Q4" s="1">
        <v>514</v>
      </c>
      <c r="R4" s="1">
        <v>528</v>
      </c>
      <c r="S4" s="1">
        <v>6052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56</v>
      </c>
      <c r="AH4" s="1" t="s">
        <v>57</v>
      </c>
      <c r="AI4" s="1" t="s">
        <v>58</v>
      </c>
      <c r="AJ4" s="1" t="s">
        <v>62</v>
      </c>
      <c r="AK4" s="1" t="s">
        <v>63</v>
      </c>
      <c r="AL4" s="1" t="s">
        <v>66</v>
      </c>
      <c r="AM4" s="1" t="s">
        <v>67</v>
      </c>
      <c r="AO4" s="1" t="s">
        <v>17</v>
      </c>
      <c r="AP4" s="1" t="s">
        <v>15</v>
      </c>
      <c r="AQ4" s="1" t="s">
        <v>16</v>
      </c>
      <c r="AR4" s="1" t="s">
        <v>12</v>
      </c>
      <c r="AS4" s="1" t="s">
        <v>13</v>
      </c>
      <c r="AT4" s="1" t="s">
        <v>18</v>
      </c>
      <c r="AU4" s="1" t="s">
        <v>14</v>
      </c>
    </row>
    <row r="5" spans="1:47" s="9" customFormat="1" ht="15.75">
      <c r="A5" s="9">
        <v>1</v>
      </c>
      <c r="B5" s="9">
        <v>2020</v>
      </c>
      <c r="C5" s="9" t="s">
        <v>4</v>
      </c>
      <c r="D5" s="9" t="s">
        <v>5</v>
      </c>
      <c r="E5" s="9" t="s">
        <v>6</v>
      </c>
      <c r="F5" s="9" t="s">
        <v>7</v>
      </c>
      <c r="G5" s="9" t="s">
        <v>8</v>
      </c>
      <c r="H5" s="9" t="s">
        <v>9</v>
      </c>
      <c r="I5" s="9" t="s">
        <v>47</v>
      </c>
      <c r="J5" s="9">
        <v>0.5</v>
      </c>
      <c r="K5" s="9">
        <v>2918</v>
      </c>
      <c r="L5" s="9">
        <v>6165</v>
      </c>
      <c r="M5" s="9">
        <v>5089</v>
      </c>
      <c r="N5" s="9">
        <v>9583</v>
      </c>
      <c r="O5" s="9">
        <v>8833</v>
      </c>
      <c r="P5" s="9">
        <v>2324</v>
      </c>
      <c r="Q5" s="9">
        <v>551</v>
      </c>
      <c r="R5" s="9">
        <v>520</v>
      </c>
      <c r="S5" s="9">
        <v>6128</v>
      </c>
      <c r="T5" s="9">
        <v>329951</v>
      </c>
      <c r="U5" s="9">
        <v>47021</v>
      </c>
      <c r="V5" s="9">
        <v>71932</v>
      </c>
      <c r="W5" s="9">
        <f>SUM(T5:V5)</f>
        <v>448904</v>
      </c>
      <c r="Y5" s="8">
        <f>M5+N5+O5+P5+Q5+R5+S5</f>
        <v>33028</v>
      </c>
      <c r="Z5" s="9">
        <v>256.58445945945942</v>
      </c>
      <c r="AA5" s="9">
        <v>264</v>
      </c>
      <c r="AB5" s="9">
        <v>926.63561776061783</v>
      </c>
      <c r="AC5" s="9">
        <v>1397.64333976834</v>
      </c>
      <c r="AD5" s="9">
        <v>249.57220077220074</v>
      </c>
      <c r="AE5" s="9">
        <v>301.62471042471037</v>
      </c>
      <c r="AF5" s="9">
        <v>2330.6072393822396</v>
      </c>
      <c r="AG5" s="9">
        <v>2758.6852316602317</v>
      </c>
      <c r="AH5" s="9">
        <v>4396.9537932046187</v>
      </c>
      <c r="AI5" s="9">
        <v>5186.340154440154</v>
      </c>
      <c r="AJ5" s="9">
        <v>2757.6000000000172</v>
      </c>
      <c r="AK5" s="9">
        <v>3370.4</v>
      </c>
      <c r="AO5" s="9">
        <f>2*AA5/SUM(Z5:AA5)</f>
        <v>1.0142446444679514</v>
      </c>
      <c r="AP5" s="9">
        <f>2*AC5/SUM(AB5:AC5)</f>
        <v>1.2026468124585488</v>
      </c>
      <c r="AQ5" s="9">
        <f>2*AE5/SUM(AD5:AE5)</f>
        <v>1.0944354160829364</v>
      </c>
      <c r="AR5" s="9">
        <f>2*AG5/SUM(AF5:AG5)</f>
        <v>1.0841134587398367</v>
      </c>
      <c r="AS5" s="9">
        <f>2*AI5/SUM(AH5:AI5)</f>
        <v>1.0823710892672282</v>
      </c>
      <c r="AT5" s="9">
        <f>2*AK5/SUM(AJ5:AK5)</f>
        <v>1.099999999999997</v>
      </c>
      <c r="AU5" s="9" t="e">
        <f>2*AM5/SUM(AL5:AM5)</f>
        <v>#DIV/0!</v>
      </c>
    </row>
    <row r="6" spans="1:47" s="5" customFormat="1" ht="15.75">
      <c r="A6" s="5">
        <v>2</v>
      </c>
      <c r="B6" s="5">
        <v>2020</v>
      </c>
      <c r="C6" s="5" t="s">
        <v>4</v>
      </c>
      <c r="D6" s="5" t="s">
        <v>5</v>
      </c>
      <c r="E6" s="5" t="s">
        <v>6</v>
      </c>
      <c r="F6" s="5" t="s">
        <v>48</v>
      </c>
      <c r="G6" s="5" t="s">
        <v>8</v>
      </c>
      <c r="H6" s="5" t="s">
        <v>9</v>
      </c>
      <c r="I6" s="9" t="s">
        <v>47</v>
      </c>
      <c r="J6" s="9">
        <v>0.5</v>
      </c>
      <c r="K6" s="5">
        <v>2612</v>
      </c>
      <c r="L6" s="5">
        <v>6165</v>
      </c>
      <c r="M6" s="5">
        <v>6124</v>
      </c>
      <c r="N6" s="5">
        <v>9391</v>
      </c>
      <c r="O6" s="5">
        <v>8552</v>
      </c>
      <c r="P6" s="5">
        <v>2206</v>
      </c>
      <c r="Q6" s="5">
        <v>538</v>
      </c>
      <c r="R6" s="5">
        <v>520</v>
      </c>
      <c r="S6" s="5">
        <v>5724</v>
      </c>
      <c r="T6" s="5">
        <v>320577</v>
      </c>
      <c r="U6" s="5">
        <v>47021</v>
      </c>
      <c r="V6" s="5">
        <v>71932</v>
      </c>
      <c r="W6" s="9">
        <f>SUM(T6:V6)</f>
        <v>439530</v>
      </c>
      <c r="Y6" s="4">
        <f t="shared" ref="Y6:Y11" si="0">M6+N6+O6+P6+Q6+R6+S6</f>
        <v>33055</v>
      </c>
      <c r="Z6" s="5">
        <v>256.58445945945942</v>
      </c>
      <c r="AA6" s="5">
        <v>264</v>
      </c>
      <c r="AB6" s="5">
        <v>867.7596525096526</v>
      </c>
      <c r="AC6" s="5">
        <v>1338.7673745173747</v>
      </c>
      <c r="AD6" s="5">
        <v>243.06563706563705</v>
      </c>
      <c r="AE6" s="5">
        <v>295.1181467181467</v>
      </c>
      <c r="AF6" s="5">
        <v>2755.8000000000006</v>
      </c>
      <c r="AG6" s="5">
        <v>3368.2000000000003</v>
      </c>
      <c r="AH6" s="5">
        <v>4303.2316602316596</v>
      </c>
      <c r="AI6" s="5">
        <v>5088.216988416988</v>
      </c>
      <c r="AJ6" s="5">
        <v>2372.1389077121598</v>
      </c>
      <c r="AK6" s="5">
        <v>3370.4</v>
      </c>
      <c r="AO6" s="9">
        <f>2*AA6/SUM(Z6:AA6)</f>
        <v>1.0142446444679514</v>
      </c>
      <c r="AP6" s="9">
        <f>2*AC6/SUM(AB6:AC6)</f>
        <v>1.213461116151537</v>
      </c>
      <c r="AQ6" s="9">
        <f>2*AE6/SUM(AD6:AE6)</f>
        <v>1.0967188369864036</v>
      </c>
      <c r="AR6" s="9">
        <f>2*AG6/SUM(AF6:AG6)</f>
        <v>1.0999999999999999</v>
      </c>
      <c r="AS6" s="9">
        <f>2*AI6/SUM(AH6:AI6)</f>
        <v>1.0835851163705486</v>
      </c>
      <c r="AT6" s="9">
        <f>2*AK6/SUM(AJ6:AK6)</f>
        <v>1.1738361913311877</v>
      </c>
      <c r="AU6" s="9" t="e">
        <f t="shared" ref="AU6:AU41" si="1">2*AM6/SUM(AL6:AM6)</f>
        <v>#DIV/0!</v>
      </c>
    </row>
    <row r="7" spans="1:47" s="5" customFormat="1" ht="15.75">
      <c r="A7" s="5">
        <v>3</v>
      </c>
      <c r="B7" s="5">
        <v>2020</v>
      </c>
      <c r="C7" s="5" t="s">
        <v>4</v>
      </c>
      <c r="D7" s="5" t="s">
        <v>5</v>
      </c>
      <c r="E7" s="5" t="s">
        <v>6</v>
      </c>
      <c r="F7" s="5" t="s">
        <v>59</v>
      </c>
      <c r="G7" s="5" t="s">
        <v>8</v>
      </c>
      <c r="H7" s="5" t="s">
        <v>9</v>
      </c>
      <c r="I7" s="9" t="s">
        <v>47</v>
      </c>
      <c r="J7" s="9">
        <v>0.5</v>
      </c>
      <c r="K7" s="5">
        <v>2197</v>
      </c>
      <c r="L7" s="5">
        <v>6165</v>
      </c>
      <c r="M7" s="5">
        <v>4910</v>
      </c>
      <c r="N7" s="5">
        <v>11504</v>
      </c>
      <c r="O7" s="5">
        <v>8334</v>
      </c>
      <c r="P7" s="5">
        <v>2088</v>
      </c>
      <c r="Q7" s="5">
        <v>525</v>
      </c>
      <c r="R7" s="5">
        <v>518</v>
      </c>
      <c r="S7" s="5">
        <v>5208</v>
      </c>
      <c r="T7" s="5">
        <v>315095</v>
      </c>
      <c r="U7" s="5">
        <v>47021</v>
      </c>
      <c r="V7" s="5">
        <v>71932</v>
      </c>
      <c r="W7" s="9">
        <f t="shared" ref="W7:W41" si="2">SUM(T7:V7)</f>
        <v>434048</v>
      </c>
      <c r="Y7" s="4">
        <f t="shared" si="0"/>
        <v>33087</v>
      </c>
      <c r="Z7" s="5">
        <v>254.72601351351349</v>
      </c>
      <c r="AA7" s="5">
        <v>264</v>
      </c>
      <c r="AB7" s="5">
        <v>808.88368725868736</v>
      </c>
      <c r="AC7" s="5">
        <v>1279.8914092664095</v>
      </c>
      <c r="AD7" s="5">
        <v>236.55907335907335</v>
      </c>
      <c r="AE7" s="5">
        <v>288.61158301158298</v>
      </c>
      <c r="AF7" s="5">
        <v>2223.5877413127414</v>
      </c>
      <c r="AG7" s="5">
        <v>2687.2008582682402</v>
      </c>
      <c r="AH7" s="5">
        <v>5176.7999999999756</v>
      </c>
      <c r="AI7" s="5">
        <v>6327.2000000000007</v>
      </c>
      <c r="AJ7" s="5">
        <v>1838</v>
      </c>
      <c r="AK7" s="5">
        <v>3370.4</v>
      </c>
      <c r="AO7" s="9">
        <f>2*AA7/SUM(Z7:AA7)</f>
        <v>1.0178783909904008</v>
      </c>
      <c r="AP7" s="9">
        <f>2*AC7/SUM(AB7:AC7)</f>
        <v>1.2254947039493596</v>
      </c>
      <c r="AQ7" s="9">
        <f>2*AE7/SUM(AD7:AE7)</f>
        <v>1.0991154189996706</v>
      </c>
      <c r="AR7" s="9">
        <f>2*AG7/SUM(AF7:AG7)</f>
        <v>1.0944070606083629</v>
      </c>
      <c r="AS7" s="9">
        <f>2*AI7/SUM(AH7:AI7)</f>
        <v>1.1000000000000023</v>
      </c>
      <c r="AT7" s="9">
        <f>2*AK7/SUM(AJ7:AK7)</f>
        <v>1.2942170340219648</v>
      </c>
      <c r="AU7" s="9" t="e">
        <f t="shared" si="1"/>
        <v>#DIV/0!</v>
      </c>
    </row>
    <row r="8" spans="1:47" s="5" customFormat="1" ht="15.75">
      <c r="A8" s="5">
        <v>4</v>
      </c>
      <c r="B8" s="5">
        <v>2020</v>
      </c>
      <c r="C8" s="5" t="s">
        <v>4</v>
      </c>
      <c r="D8" s="5" t="s">
        <v>5</v>
      </c>
      <c r="E8" s="5" t="s">
        <v>6</v>
      </c>
      <c r="F8" s="5" t="s">
        <v>60</v>
      </c>
      <c r="G8" s="5" t="s">
        <v>8</v>
      </c>
      <c r="H8" s="5" t="s">
        <v>9</v>
      </c>
      <c r="I8" s="9" t="s">
        <v>47</v>
      </c>
      <c r="J8" s="9">
        <v>0.5</v>
      </c>
      <c r="K8" s="5">
        <v>2381</v>
      </c>
      <c r="L8" s="5">
        <v>6165</v>
      </c>
      <c r="M8" s="5">
        <v>4740</v>
      </c>
      <c r="N8" s="5">
        <v>8999</v>
      </c>
      <c r="O8" s="5">
        <v>11210</v>
      </c>
      <c r="P8" s="5">
        <v>1912</v>
      </c>
      <c r="Q8" s="5">
        <v>505</v>
      </c>
      <c r="R8" s="5">
        <v>515</v>
      </c>
      <c r="S8" s="5">
        <v>5208</v>
      </c>
      <c r="T8" s="5">
        <v>315586</v>
      </c>
      <c r="U8" s="5">
        <v>47021</v>
      </c>
      <c r="V8" s="5">
        <v>71932</v>
      </c>
      <c r="W8" s="9">
        <f t="shared" si="2"/>
        <v>434539</v>
      </c>
      <c r="Y8" s="4">
        <f t="shared" si="0"/>
        <v>33089</v>
      </c>
      <c r="Z8" s="5">
        <v>251.0091216216216</v>
      </c>
      <c r="AA8" s="5">
        <v>264</v>
      </c>
      <c r="AB8" s="5">
        <v>691.13175675675677</v>
      </c>
      <c r="AC8" s="5">
        <v>1221.015444015444</v>
      </c>
      <c r="AD8" s="5">
        <v>223.54594594594593</v>
      </c>
      <c r="AE8" s="5">
        <v>282.10501930501925</v>
      </c>
      <c r="AF8" s="5">
        <v>2141.8169032432384</v>
      </c>
      <c r="AG8" s="5">
        <v>2598.1559845559846</v>
      </c>
      <c r="AH8" s="5">
        <v>4106.9853281853275</v>
      </c>
      <c r="AI8" s="5">
        <v>4891.9706563706559</v>
      </c>
      <c r="AJ8" s="5">
        <v>1838</v>
      </c>
      <c r="AK8" s="5">
        <v>3370.4</v>
      </c>
      <c r="AO8" s="9">
        <f>2*AA8/SUM(Z8:AA8)</f>
        <v>1.0252245597854146</v>
      </c>
      <c r="AP8" s="9">
        <f>2*AC8/SUM(AB8:AC8)</f>
        <v>1.2771144852471081</v>
      </c>
      <c r="AQ8" s="9">
        <f>2*AE8/SUM(AD8:AE8)</f>
        <v>1.1158092783032842</v>
      </c>
      <c r="AR8" s="9">
        <f>2*AG8/SUM(AF8:AG8)</f>
        <v>1.096274618466146</v>
      </c>
      <c r="AS8" s="9">
        <f>2*AI8/SUM(AH8:AI8)</f>
        <v>1.0872307109327484</v>
      </c>
      <c r="AT8" s="9">
        <f>2*AK8/SUM(AJ8:AK8)</f>
        <v>1.2942170340219648</v>
      </c>
      <c r="AU8" s="9" t="e">
        <f t="shared" si="1"/>
        <v>#DIV/0!</v>
      </c>
    </row>
    <row r="9" spans="1:47" s="1" customFormat="1" ht="15.75">
      <c r="A9" s="1">
        <v>5</v>
      </c>
      <c r="B9" s="7">
        <v>2020</v>
      </c>
      <c r="C9" s="7" t="s">
        <v>4</v>
      </c>
      <c r="D9" s="7" t="s">
        <v>39</v>
      </c>
      <c r="E9" s="7" t="s">
        <v>6</v>
      </c>
      <c r="F9" s="7" t="s">
        <v>7</v>
      </c>
      <c r="G9" s="7" t="s">
        <v>8</v>
      </c>
      <c r="H9" s="7" t="s">
        <v>9</v>
      </c>
      <c r="I9" s="9" t="s">
        <v>47</v>
      </c>
      <c r="J9" s="9">
        <v>0.5</v>
      </c>
      <c r="K9" s="7">
        <v>1799</v>
      </c>
      <c r="L9" s="7">
        <v>14299</v>
      </c>
      <c r="M9" s="7">
        <v>4572</v>
      </c>
      <c r="N9" s="7">
        <v>8563</v>
      </c>
      <c r="O9" s="11">
        <v>7479</v>
      </c>
      <c r="P9" s="11">
        <v>1755</v>
      </c>
      <c r="Q9" s="11">
        <v>483</v>
      </c>
      <c r="R9" s="7">
        <v>512</v>
      </c>
      <c r="S9" s="7">
        <v>5208</v>
      </c>
      <c r="T9" s="1">
        <v>356947</v>
      </c>
      <c r="U9" s="1">
        <v>89447</v>
      </c>
      <c r="V9" s="7">
        <v>35475</v>
      </c>
      <c r="W9" s="9">
        <f t="shared" si="2"/>
        <v>481869</v>
      </c>
      <c r="Y9" s="8">
        <f t="shared" si="0"/>
        <v>28572</v>
      </c>
      <c r="Z9" s="1">
        <v>249.6335347432024</v>
      </c>
      <c r="AA9" s="1">
        <v>262.72126132930509</v>
      </c>
      <c r="AB9" s="1">
        <v>693.62197885196383</v>
      </c>
      <c r="AC9" s="1">
        <v>1062.1748489425984</v>
      </c>
      <c r="AD9" s="1">
        <v>218.72990936555891</v>
      </c>
      <c r="AE9" s="1">
        <v>264.55105740181267</v>
      </c>
      <c r="AF9" s="1">
        <v>2118.7726383685795</v>
      </c>
      <c r="AG9" s="1">
        <v>2453.7928247734139</v>
      </c>
      <c r="AH9" s="1">
        <v>3936.2332326283986</v>
      </c>
      <c r="AI9" s="1">
        <v>4627.2456193353473</v>
      </c>
      <c r="AJ9" s="1">
        <v>1838</v>
      </c>
      <c r="AK9" s="1">
        <v>3370.4</v>
      </c>
      <c r="AO9" s="9">
        <f>2*AA9/SUM(Z9:AA9)</f>
        <v>1.0255442648071758</v>
      </c>
      <c r="AP9" s="9">
        <f>2*AC9/SUM(AB9:AC9)</f>
        <v>1.2099063309925044</v>
      </c>
      <c r="AQ9" s="9">
        <f>2*AE9/SUM(AD9:AE9)</f>
        <v>1.0948126476876336</v>
      </c>
      <c r="AR9" s="9">
        <f>2*AG9/SUM(AF9:AG9)</f>
        <v>1.0732674445243764</v>
      </c>
      <c r="AS9" s="9">
        <f>2*AI9/SUM(AH9:AI9)</f>
        <v>1.0806929518543142</v>
      </c>
      <c r="AT9" s="9">
        <f>2*AK9/SUM(AJ9:AK9)</f>
        <v>1.2942170340219648</v>
      </c>
      <c r="AU9" s="9" t="e">
        <f t="shared" si="1"/>
        <v>#DIV/0!</v>
      </c>
    </row>
    <row r="10" spans="1:47" ht="15.75">
      <c r="A10" s="9"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7</v>
      </c>
      <c r="G10" s="7" t="s">
        <v>8</v>
      </c>
      <c r="H10" s="7" t="s">
        <v>9</v>
      </c>
      <c r="I10" s="9" t="s">
        <v>47</v>
      </c>
      <c r="J10" s="9">
        <v>0.8</v>
      </c>
      <c r="K10" s="5">
        <v>2918</v>
      </c>
      <c r="L10" s="5">
        <v>6165</v>
      </c>
      <c r="M10" s="5">
        <v>5089</v>
      </c>
      <c r="N10" s="5">
        <v>9583</v>
      </c>
      <c r="O10" s="5">
        <v>8833</v>
      </c>
      <c r="P10" s="5">
        <v>2324</v>
      </c>
      <c r="Q10" s="5">
        <v>551</v>
      </c>
      <c r="R10" s="5">
        <v>520</v>
      </c>
      <c r="S10" s="5">
        <v>6128</v>
      </c>
      <c r="T10" s="5">
        <v>329951</v>
      </c>
      <c r="U10" s="5">
        <v>47021</v>
      </c>
      <c r="V10" s="5">
        <v>71932</v>
      </c>
      <c r="W10" s="9">
        <f t="shared" si="2"/>
        <v>448904</v>
      </c>
      <c r="Y10" s="4">
        <f t="shared" si="0"/>
        <v>33028</v>
      </c>
      <c r="AJ10">
        <v>2757.6000000000067</v>
      </c>
      <c r="AK10">
        <v>3370.4</v>
      </c>
      <c r="AO10" s="9" t="e">
        <f t="shared" ref="AO10:AO41" si="3">2*AA10/SUM(Z10:AA10)</f>
        <v>#DIV/0!</v>
      </c>
      <c r="AP10" s="9" t="e">
        <f t="shared" ref="AP10:AP41" si="4">2*AC10/SUM(AB10:AC10)</f>
        <v>#DIV/0!</v>
      </c>
      <c r="AQ10" s="9" t="e">
        <f t="shared" ref="AQ10:AQ41" si="5">2*AE10/SUM(AD10:AE10)</f>
        <v>#DIV/0!</v>
      </c>
      <c r="AR10" s="9" t="e">
        <f t="shared" ref="AR10:AR41" si="6">2*AG10/SUM(AF10:AG10)</f>
        <v>#DIV/0!</v>
      </c>
      <c r="AS10" s="9" t="e">
        <f t="shared" ref="AS10:AS41" si="7">2*AI10/SUM(AH10:AI10)</f>
        <v>#DIV/0!</v>
      </c>
      <c r="AT10" s="9">
        <f t="shared" ref="AT10:AT41" si="8">2*AK10/SUM(AJ10:AK10)</f>
        <v>1.0999999999999988</v>
      </c>
      <c r="AU10" s="9" t="e">
        <f t="shared" si="1"/>
        <v>#DIV/0!</v>
      </c>
    </row>
    <row r="11" spans="1:47" ht="15.75">
      <c r="A11" s="5"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7</v>
      </c>
      <c r="G11" s="7" t="s">
        <v>8</v>
      </c>
      <c r="H11" s="7" t="s">
        <v>9</v>
      </c>
      <c r="I11" t="s">
        <v>65</v>
      </c>
      <c r="J11" s="9">
        <v>0.5</v>
      </c>
      <c r="K11" s="5">
        <v>4329</v>
      </c>
      <c r="L11" s="5">
        <v>6165</v>
      </c>
      <c r="M11" s="5">
        <v>5057</v>
      </c>
      <c r="N11" s="5">
        <v>9587</v>
      </c>
      <c r="O11" s="5">
        <v>8833</v>
      </c>
      <c r="P11" s="5">
        <v>2324</v>
      </c>
      <c r="Q11" s="5">
        <v>544</v>
      </c>
      <c r="R11" s="5">
        <v>528</v>
      </c>
      <c r="S11" s="5">
        <v>6128</v>
      </c>
      <c r="T11" s="5">
        <v>327844</v>
      </c>
      <c r="U11" s="5">
        <v>47021</v>
      </c>
      <c r="V11" s="5">
        <v>71845</v>
      </c>
      <c r="W11" s="9">
        <f t="shared" si="2"/>
        <v>446710</v>
      </c>
      <c r="Y11" s="4">
        <f t="shared" si="0"/>
        <v>33001</v>
      </c>
      <c r="Z11">
        <v>264</v>
      </c>
      <c r="AA11">
        <v>264</v>
      </c>
      <c r="AB11">
        <v>1162.1394787644788</v>
      </c>
      <c r="AC11">
        <v>1162.1394787644788</v>
      </c>
      <c r="AD11">
        <v>269.09189189189186</v>
      </c>
      <c r="AE11">
        <v>275.59845559845559</v>
      </c>
      <c r="AF11">
        <v>2513.1957456370615</v>
      </c>
      <c r="AG11">
        <v>2544.6462355212357</v>
      </c>
      <c r="AH11">
        <v>4793.8474903474898</v>
      </c>
      <c r="AI11">
        <v>4793.8474903474898</v>
      </c>
      <c r="AJ11">
        <v>2757.6000000000008</v>
      </c>
      <c r="AK11">
        <v>3370.4</v>
      </c>
      <c r="AO11" s="9">
        <f t="shared" si="3"/>
        <v>1</v>
      </c>
      <c r="AP11" s="9">
        <f t="shared" si="4"/>
        <v>1</v>
      </c>
      <c r="AQ11" s="9">
        <f t="shared" si="5"/>
        <v>1.0119454360381868</v>
      </c>
      <c r="AR11" s="9">
        <f t="shared" si="6"/>
        <v>1.0062181637942298</v>
      </c>
      <c r="AS11" s="9">
        <f t="shared" si="7"/>
        <v>1</v>
      </c>
      <c r="AT11" s="9">
        <f t="shared" si="8"/>
        <v>1.0999999999999999</v>
      </c>
      <c r="AU11" s="9" t="e">
        <f t="shared" si="1"/>
        <v>#DIV/0!</v>
      </c>
    </row>
    <row r="12" spans="1:47" ht="16.5" customHeight="1">
      <c r="A12" s="5">
        <v>8</v>
      </c>
      <c r="B12" s="9">
        <v>2020</v>
      </c>
      <c r="C12" s="9" t="s">
        <v>4</v>
      </c>
      <c r="D12" s="9" t="s">
        <v>5</v>
      </c>
      <c r="E12" s="7" t="s">
        <v>6</v>
      </c>
      <c r="F12" s="7" t="s">
        <v>7</v>
      </c>
      <c r="G12" s="7" t="s">
        <v>8</v>
      </c>
      <c r="H12" s="7" t="s">
        <v>9</v>
      </c>
      <c r="I12" s="9" t="s">
        <v>45</v>
      </c>
      <c r="J12" s="9">
        <v>0.5</v>
      </c>
      <c r="K12" s="5">
        <v>3632</v>
      </c>
      <c r="L12" s="5">
        <v>6265</v>
      </c>
      <c r="M12" s="5">
        <v>5089</v>
      </c>
      <c r="N12" s="5">
        <v>9579</v>
      </c>
      <c r="O12" s="5">
        <v>8833</v>
      </c>
      <c r="P12" s="5">
        <v>2324</v>
      </c>
      <c r="Q12" s="5">
        <v>551</v>
      </c>
      <c r="R12" s="5">
        <v>524</v>
      </c>
      <c r="S12" s="5">
        <v>6128</v>
      </c>
      <c r="T12" s="5">
        <v>328502</v>
      </c>
      <c r="U12" s="5">
        <v>47021</v>
      </c>
      <c r="V12" s="5">
        <v>71932</v>
      </c>
      <c r="W12" s="9">
        <f t="shared" si="2"/>
        <v>447455</v>
      </c>
      <c r="Y12" s="2">
        <f t="shared" ref="Y12:Y41" si="9">L12+M12+N12+O12+P12+Q12+R12+S12</f>
        <v>39293</v>
      </c>
      <c r="Z12">
        <v>260.30135135135134</v>
      </c>
      <c r="AA12">
        <v>264</v>
      </c>
      <c r="AB12">
        <v>1044.3875482625483</v>
      </c>
      <c r="AC12">
        <v>1279.8914092664095</v>
      </c>
      <c r="AD12">
        <v>262.58532818532814</v>
      </c>
      <c r="AE12">
        <v>288.61158301158298</v>
      </c>
      <c r="AF12">
        <v>2437.6267374517374</v>
      </c>
      <c r="AG12">
        <v>2651.6657335907339</v>
      </c>
      <c r="AH12">
        <v>4589.4832333590666</v>
      </c>
      <c r="AI12">
        <v>4990.0938223938219</v>
      </c>
      <c r="AJ12">
        <v>2757.6000000000072</v>
      </c>
      <c r="AK12">
        <v>3370.4</v>
      </c>
      <c r="AL12">
        <v>4136.1677123552126</v>
      </c>
      <c r="AM12">
        <v>4696.8347007722014</v>
      </c>
      <c r="AO12" s="9">
        <f t="shared" si="3"/>
        <v>1.0070544327973134</v>
      </c>
      <c r="AP12" s="9">
        <f t="shared" si="4"/>
        <v>1.1013234062292743</v>
      </c>
      <c r="AQ12" s="9">
        <f t="shared" si="5"/>
        <v>1.0472177080414684</v>
      </c>
      <c r="AR12" s="9">
        <f t="shared" si="6"/>
        <v>1.0420567293699183</v>
      </c>
      <c r="AS12" s="9">
        <f t="shared" si="7"/>
        <v>1.0418192355156404</v>
      </c>
      <c r="AT12" s="9">
        <f t="shared" si="8"/>
        <v>1.0999999999999988</v>
      </c>
      <c r="AU12" s="9">
        <f t="shared" si="1"/>
        <v>1.0634741124471716</v>
      </c>
    </row>
    <row r="13" spans="1:47" ht="15.75">
      <c r="A13" s="5">
        <v>9</v>
      </c>
      <c r="B13" s="9">
        <v>2020</v>
      </c>
      <c r="C13" s="9" t="s">
        <v>4</v>
      </c>
      <c r="D13" s="9" t="s">
        <v>39</v>
      </c>
      <c r="E13" s="7" t="s">
        <v>6</v>
      </c>
      <c r="F13" s="7" t="s">
        <v>7</v>
      </c>
      <c r="G13" s="7" t="s">
        <v>8</v>
      </c>
      <c r="H13" s="7" t="s">
        <v>9</v>
      </c>
      <c r="I13" s="9" t="s">
        <v>45</v>
      </c>
      <c r="J13" s="9">
        <v>0.5</v>
      </c>
      <c r="K13" s="5">
        <v>2642</v>
      </c>
      <c r="L13" s="5">
        <v>14299</v>
      </c>
      <c r="M13" s="5">
        <f t="shared" ref="M13:M41" si="10">SUM(AF13:AG13)</f>
        <v>4447.0138217522654</v>
      </c>
      <c r="N13" s="5">
        <f t="shared" ref="N13:N41" si="11">SUM(AH13:AI13)</f>
        <v>8409.9205438066456</v>
      </c>
      <c r="O13">
        <f t="shared" ref="O13:O41" si="12">SUM(AL13:AM13)</f>
        <v>7250.7489223564971</v>
      </c>
      <c r="P13">
        <f t="shared" ref="P13:P41" si="13">SUM(AB13:AC13)</f>
        <v>1663.6586102719034</v>
      </c>
      <c r="Q13">
        <f t="shared" ref="Q13:Q41" si="14">SUM(AD13:AE13)</f>
        <v>473.09848942598182</v>
      </c>
      <c r="R13">
        <f t="shared" ref="R13:R41" si="15">SUM(Z13:AA13)</f>
        <v>509.44641238670687</v>
      </c>
      <c r="S13">
        <f t="shared" ref="S13:S41" si="16">SUM(AJ13:AK13)</f>
        <v>5821.6</v>
      </c>
      <c r="T13" s="5">
        <v>345494</v>
      </c>
      <c r="U13" s="5">
        <v>89447</v>
      </c>
      <c r="V13" s="5">
        <v>35475</v>
      </c>
      <c r="W13" s="9">
        <f t="shared" si="2"/>
        <v>470416</v>
      </c>
      <c r="Y13" s="2">
        <f t="shared" si="9"/>
        <v>42874.486799999999</v>
      </c>
      <c r="Z13">
        <v>251.08772658610269</v>
      </c>
      <c r="AA13">
        <v>258.35868580060418</v>
      </c>
      <c r="AB13">
        <v>739.69108761329312</v>
      </c>
      <c r="AC13">
        <v>923.96752265861028</v>
      </c>
      <c r="AD13">
        <v>223.82114803625376</v>
      </c>
      <c r="AE13">
        <v>249.27734138972809</v>
      </c>
      <c r="AF13">
        <v>2118.8314954682778</v>
      </c>
      <c r="AG13">
        <v>2328.182326283988</v>
      </c>
      <c r="AH13">
        <v>4013.0123867069483</v>
      </c>
      <c r="AI13">
        <v>4396.9081570996977</v>
      </c>
      <c r="AJ13">
        <v>2451.2000000000003</v>
      </c>
      <c r="AK13">
        <v>3370.4</v>
      </c>
      <c r="AL13">
        <v>3401.2666716012095</v>
      </c>
      <c r="AM13">
        <v>3849.4822507552872</v>
      </c>
      <c r="AO13" s="9">
        <f t="shared" si="3"/>
        <v>1.0142722748413082</v>
      </c>
      <c r="AP13" s="9">
        <f t="shared" si="4"/>
        <v>1.1107657748455975</v>
      </c>
      <c r="AQ13" s="9">
        <f t="shared" si="5"/>
        <v>1.0538073866698683</v>
      </c>
      <c r="AR13" s="9">
        <f t="shared" si="6"/>
        <v>1.0470767214150956</v>
      </c>
      <c r="AS13" s="9">
        <f t="shared" si="7"/>
        <v>1.0456479663979066</v>
      </c>
      <c r="AT13" s="9">
        <f t="shared" si="8"/>
        <v>1.1578947368421053</v>
      </c>
      <c r="AU13" s="9">
        <f t="shared" si="1"/>
        <v>1.0618164528869669</v>
      </c>
    </row>
    <row r="14" spans="1:47" ht="15.75">
      <c r="A14" s="5">
        <v>10</v>
      </c>
      <c r="B14" s="9">
        <v>2020</v>
      </c>
      <c r="C14" s="9" t="s">
        <v>4</v>
      </c>
      <c r="D14" s="9" t="s">
        <v>39</v>
      </c>
      <c r="E14" s="7" t="s">
        <v>6</v>
      </c>
      <c r="F14" s="7" t="s">
        <v>7</v>
      </c>
      <c r="G14" s="7" t="s">
        <v>8</v>
      </c>
      <c r="H14" s="7" t="s">
        <v>9</v>
      </c>
      <c r="I14" s="9" t="s">
        <v>45</v>
      </c>
      <c r="J14" s="9">
        <v>0.8</v>
      </c>
      <c r="K14" s="5">
        <v>2812</v>
      </c>
      <c r="L14" s="5">
        <v>14229</v>
      </c>
      <c r="M14" s="5">
        <f t="shared" si="10"/>
        <v>4405.1436555891232</v>
      </c>
      <c r="N14" s="5">
        <f t="shared" si="11"/>
        <v>8333.1413897280963</v>
      </c>
      <c r="O14">
        <f t="shared" si="12"/>
        <v>7115.6127818731075</v>
      </c>
      <c r="P14">
        <f t="shared" si="13"/>
        <v>1617.5895015105741</v>
      </c>
      <c r="Q14">
        <f t="shared" si="14"/>
        <v>468.00725075528698</v>
      </c>
      <c r="R14">
        <f t="shared" si="15"/>
        <v>507.99222054380658</v>
      </c>
      <c r="S14">
        <f t="shared" si="16"/>
        <v>6128.0000000000073</v>
      </c>
      <c r="T14" s="5">
        <v>340467</v>
      </c>
      <c r="U14" s="5">
        <v>89447</v>
      </c>
      <c r="V14" s="5">
        <v>35475</v>
      </c>
      <c r="W14" s="9">
        <f t="shared" si="2"/>
        <v>465389</v>
      </c>
      <c r="Y14" s="2">
        <f t="shared" si="9"/>
        <v>42804.486800000006</v>
      </c>
      <c r="Z14">
        <v>251.08772658610269</v>
      </c>
      <c r="AA14">
        <v>256.90449395770389</v>
      </c>
      <c r="AB14">
        <v>693.62197885196383</v>
      </c>
      <c r="AC14">
        <v>923.96752265861028</v>
      </c>
      <c r="AD14">
        <v>223.82114803625376</v>
      </c>
      <c r="AE14">
        <v>244.18610271903322</v>
      </c>
      <c r="AF14">
        <v>2118.8314954682778</v>
      </c>
      <c r="AG14">
        <v>2286.3121601208459</v>
      </c>
      <c r="AH14">
        <v>4013.0123867069483</v>
      </c>
      <c r="AI14">
        <v>4320.1290030211476</v>
      </c>
      <c r="AJ14">
        <v>2768.1489562904062</v>
      </c>
      <c r="AK14">
        <v>3359.8510437096015</v>
      </c>
      <c r="AL14">
        <v>3301.0957326283988</v>
      </c>
      <c r="AM14">
        <v>3814.5170492447082</v>
      </c>
      <c r="AO14" s="9">
        <f t="shared" si="3"/>
        <v>1.0114505048234288</v>
      </c>
      <c r="AP14" s="9">
        <f t="shared" si="4"/>
        <v>1.1424004938159773</v>
      </c>
      <c r="AQ14" s="9">
        <f t="shared" si="5"/>
        <v>1.0435141862650925</v>
      </c>
      <c r="AR14" s="9">
        <f t="shared" si="6"/>
        <v>1.0380193423295228</v>
      </c>
      <c r="AS14" s="9">
        <f t="shared" si="7"/>
        <v>1.0368548428438726</v>
      </c>
      <c r="AT14" s="9">
        <f t="shared" si="8"/>
        <v>1.0965571291480409</v>
      </c>
      <c r="AU14" s="9">
        <f t="shared" si="1"/>
        <v>1.0721541956195593</v>
      </c>
    </row>
    <row r="15" spans="1:47" ht="15.75">
      <c r="A15" s="5"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7" t="s">
        <v>7</v>
      </c>
      <c r="G15" s="7" t="s">
        <v>8</v>
      </c>
      <c r="H15" s="7" t="s">
        <v>9</v>
      </c>
      <c r="I15" s="9" t="s">
        <v>45</v>
      </c>
      <c r="J15" s="9">
        <v>0.8</v>
      </c>
      <c r="K15" s="5">
        <v>3642</v>
      </c>
      <c r="L15" s="5">
        <v>6165</v>
      </c>
      <c r="M15" s="5">
        <f t="shared" si="10"/>
        <v>5089.2924710424713</v>
      </c>
      <c r="N15" s="5">
        <f t="shared" si="11"/>
        <v>9579.5770557528922</v>
      </c>
      <c r="O15">
        <f t="shared" si="12"/>
        <v>8833.0024131274149</v>
      </c>
      <c r="P15">
        <f t="shared" si="13"/>
        <v>2324.278957528958</v>
      </c>
      <c r="Q15">
        <f t="shared" si="14"/>
        <v>551.19691119691106</v>
      </c>
      <c r="R15">
        <f t="shared" si="15"/>
        <v>524.30135135135129</v>
      </c>
      <c r="S15">
        <f t="shared" si="16"/>
        <v>6128</v>
      </c>
      <c r="T15" s="5">
        <v>328503</v>
      </c>
      <c r="U15" s="5">
        <v>47021</v>
      </c>
      <c r="V15" s="5">
        <v>71932</v>
      </c>
      <c r="W15" s="9">
        <f t="shared" si="2"/>
        <v>447456</v>
      </c>
      <c r="Y15" s="2">
        <f t="shared" si="9"/>
        <v>39194.649160000001</v>
      </c>
      <c r="Z15">
        <v>260.30135135135134</v>
      </c>
      <c r="AA15">
        <v>264</v>
      </c>
      <c r="AB15">
        <v>1044.3875482625483</v>
      </c>
      <c r="AC15">
        <v>1279.8914092664095</v>
      </c>
      <c r="AD15">
        <v>262.58532818532814</v>
      </c>
      <c r="AE15">
        <v>288.61158301158298</v>
      </c>
      <c r="AF15">
        <v>2437.6267374517374</v>
      </c>
      <c r="AG15">
        <v>2651.6657335907339</v>
      </c>
      <c r="AH15">
        <v>4589.4832333590703</v>
      </c>
      <c r="AI15">
        <v>4990.0938223938219</v>
      </c>
      <c r="AJ15">
        <v>2768.1489562904085</v>
      </c>
      <c r="AK15">
        <v>3359.8510437095911</v>
      </c>
      <c r="AL15">
        <v>4136.1677123552126</v>
      </c>
      <c r="AM15">
        <v>4696.8347007722014</v>
      </c>
      <c r="AO15" s="9">
        <f t="shared" si="3"/>
        <v>1.0070544327973134</v>
      </c>
      <c r="AP15" s="9">
        <f t="shared" si="4"/>
        <v>1.1013234062292743</v>
      </c>
      <c r="AQ15" s="9">
        <f t="shared" si="5"/>
        <v>1.0472177080414684</v>
      </c>
      <c r="AR15" s="9">
        <f t="shared" si="6"/>
        <v>1.0420567293699183</v>
      </c>
      <c r="AS15" s="9">
        <f t="shared" si="7"/>
        <v>1.0418192355156399</v>
      </c>
      <c r="AT15" s="9">
        <f t="shared" si="8"/>
        <v>1.0965571291480389</v>
      </c>
      <c r="AU15" s="9">
        <f t="shared" si="1"/>
        <v>1.0634741124471716</v>
      </c>
    </row>
    <row r="16" spans="1:47" ht="15.75">
      <c r="A16" s="5"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5" t="s">
        <v>48</v>
      </c>
      <c r="G16" s="7" t="s">
        <v>8</v>
      </c>
      <c r="H16" s="7" t="s">
        <v>9</v>
      </c>
      <c r="I16" s="9" t="s">
        <v>45</v>
      </c>
      <c r="J16" s="9">
        <v>0.8</v>
      </c>
      <c r="K16" s="5">
        <v>3360</v>
      </c>
      <c r="L16" s="5">
        <v>6165</v>
      </c>
      <c r="M16" s="5">
        <f t="shared" si="10"/>
        <v>6123.9999999999964</v>
      </c>
      <c r="N16" s="5">
        <f t="shared" si="11"/>
        <v>9216.0073167145929</v>
      </c>
      <c r="O16">
        <f t="shared" si="12"/>
        <v>8366.3772197332746</v>
      </c>
      <c r="P16">
        <f t="shared" si="13"/>
        <v>2147.6510617760619</v>
      </c>
      <c r="Q16">
        <f t="shared" si="14"/>
        <v>525.17065637065639</v>
      </c>
      <c r="R16">
        <f t="shared" si="15"/>
        <v>522.44290540540533</v>
      </c>
      <c r="S16">
        <f t="shared" si="16"/>
        <v>6128.0000000000109</v>
      </c>
      <c r="T16" s="5">
        <v>314065</v>
      </c>
      <c r="U16" s="5">
        <v>47021</v>
      </c>
      <c r="V16" s="5">
        <v>71932</v>
      </c>
      <c r="W16" s="9">
        <f t="shared" si="2"/>
        <v>433018</v>
      </c>
      <c r="Y16" s="2">
        <f t="shared" si="9"/>
        <v>39194.649160000001</v>
      </c>
      <c r="Z16">
        <v>258.44290540540538</v>
      </c>
      <c r="AA16">
        <v>264</v>
      </c>
      <c r="AB16">
        <v>926.63561776061783</v>
      </c>
      <c r="AC16">
        <v>1221.015444015444</v>
      </c>
      <c r="AD16">
        <v>249.57220077220074</v>
      </c>
      <c r="AE16">
        <v>275.59845559845559</v>
      </c>
      <c r="AF16">
        <v>2755.7999999999961</v>
      </c>
      <c r="AG16">
        <v>3368.2000000000003</v>
      </c>
      <c r="AH16">
        <v>4401.3548262548256</v>
      </c>
      <c r="AI16">
        <v>4814.6524904597682</v>
      </c>
      <c r="AJ16">
        <v>2768.1489562904071</v>
      </c>
      <c r="AK16">
        <v>3359.8510437096033</v>
      </c>
      <c r="AL16">
        <v>3855.8342181467183</v>
      </c>
      <c r="AM16">
        <v>4510.5430015865559</v>
      </c>
      <c r="AO16" s="9">
        <f t="shared" si="3"/>
        <v>1.0106367500392841</v>
      </c>
      <c r="AP16" s="9">
        <f t="shared" si="4"/>
        <v>1.1370706030854847</v>
      </c>
      <c r="AQ16" s="9">
        <f t="shared" si="5"/>
        <v>1.0495577094998352</v>
      </c>
      <c r="AR16" s="9">
        <f t="shared" si="6"/>
        <v>1.1000000000000008</v>
      </c>
      <c r="AS16" s="9">
        <f t="shared" si="7"/>
        <v>1.0448456310853147</v>
      </c>
      <c r="AT16" s="9">
        <f t="shared" si="8"/>
        <v>1.0965571291480409</v>
      </c>
      <c r="AU16" s="9">
        <f t="shared" si="1"/>
        <v>1.0782547530722872</v>
      </c>
    </row>
    <row r="17" spans="1:47" ht="15.75">
      <c r="A17" s="5"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5" t="s">
        <v>59</v>
      </c>
      <c r="G17" s="7" t="s">
        <v>8</v>
      </c>
      <c r="H17" s="7" t="s">
        <v>9</v>
      </c>
      <c r="I17" s="9" t="s">
        <v>45</v>
      </c>
      <c r="J17" s="9">
        <v>0.8</v>
      </c>
      <c r="K17" s="5">
        <v>3128</v>
      </c>
      <c r="L17" s="5">
        <v>6165</v>
      </c>
      <c r="M17" s="5">
        <f t="shared" si="10"/>
        <v>4714.7242277992282</v>
      </c>
      <c r="N17" s="5">
        <f t="shared" si="11"/>
        <v>11503.999999999985</v>
      </c>
      <c r="O17">
        <f t="shared" si="12"/>
        <v>7851.835183397684</v>
      </c>
      <c r="P17">
        <f t="shared" si="13"/>
        <v>1869.0918646332148</v>
      </c>
      <c r="Q17">
        <f t="shared" si="14"/>
        <v>505.59907335907337</v>
      </c>
      <c r="R17">
        <f t="shared" si="15"/>
        <v>516.88581081081077</v>
      </c>
      <c r="S17">
        <f t="shared" si="16"/>
        <v>6128.0000000000055</v>
      </c>
      <c r="T17" s="5">
        <v>301614</v>
      </c>
      <c r="U17" s="5">
        <v>47021</v>
      </c>
      <c r="V17" s="5">
        <v>71932</v>
      </c>
      <c r="W17" s="9">
        <f t="shared" si="2"/>
        <v>420567</v>
      </c>
      <c r="Y17" s="2">
        <f t="shared" si="9"/>
        <v>39255.136160000002</v>
      </c>
      <c r="Z17">
        <v>254.72601351351349</v>
      </c>
      <c r="AA17">
        <v>262.15979729729725</v>
      </c>
      <c r="AB17">
        <v>808.88368725868736</v>
      </c>
      <c r="AC17">
        <v>1060.2081773745274</v>
      </c>
      <c r="AD17">
        <v>236.55907335907335</v>
      </c>
      <c r="AE17">
        <v>269.04000000000002</v>
      </c>
      <c r="AF17">
        <v>2223.5877413127414</v>
      </c>
      <c r="AG17">
        <v>2491.1364864864868</v>
      </c>
      <c r="AH17">
        <v>5176.7999999999847</v>
      </c>
      <c r="AI17">
        <v>6327.2000000000007</v>
      </c>
      <c r="AJ17">
        <v>2768.1489562904048</v>
      </c>
      <c r="AK17">
        <v>3359.8510437096006</v>
      </c>
      <c r="AL17">
        <v>3575.5007239382239</v>
      </c>
      <c r="AM17">
        <v>4276.33445945946</v>
      </c>
      <c r="AO17" s="9">
        <f t="shared" si="3"/>
        <v>1.0143818685448587</v>
      </c>
      <c r="AP17" s="9">
        <f t="shared" si="4"/>
        <v>1.1344634230512578</v>
      </c>
      <c r="AQ17" s="9">
        <f t="shared" si="5"/>
        <v>1.064242456824795</v>
      </c>
      <c r="AR17" s="9">
        <f t="shared" si="6"/>
        <v>1.0567474855891272</v>
      </c>
      <c r="AS17" s="9">
        <f t="shared" si="7"/>
        <v>1.1000000000000014</v>
      </c>
      <c r="AT17" s="9">
        <f t="shared" si="8"/>
        <v>1.0965571291480409</v>
      </c>
      <c r="AU17" s="9">
        <f t="shared" si="1"/>
        <v>1.0892573161753465</v>
      </c>
    </row>
    <row r="18" spans="1:47" ht="15.75">
      <c r="A18" s="5">
        <v>14</v>
      </c>
      <c r="B18" s="9">
        <v>2020</v>
      </c>
      <c r="C18" s="9" t="s">
        <v>4</v>
      </c>
      <c r="D18" s="9" t="s">
        <v>5</v>
      </c>
      <c r="E18" s="7" t="s">
        <v>6</v>
      </c>
      <c r="F18" s="5" t="s">
        <v>60</v>
      </c>
      <c r="G18" s="7" t="s">
        <v>8</v>
      </c>
      <c r="H18" s="7" t="s">
        <v>9</v>
      </c>
      <c r="I18" s="9" t="s">
        <v>45</v>
      </c>
      <c r="J18" s="9">
        <v>0.8</v>
      </c>
      <c r="K18" s="5">
        <v>3263</v>
      </c>
      <c r="L18" s="5">
        <v>6165</v>
      </c>
      <c r="M18" s="5">
        <f t="shared" si="10"/>
        <v>4500.6852316602317</v>
      </c>
      <c r="N18" s="5">
        <f t="shared" si="11"/>
        <v>8583.8724051737081</v>
      </c>
      <c r="O18">
        <f t="shared" si="12"/>
        <v>11210.000000000022</v>
      </c>
      <c r="P18">
        <f t="shared" si="13"/>
        <v>1676.64333976834</v>
      </c>
      <c r="Q18">
        <f t="shared" si="14"/>
        <v>479.62471042471043</v>
      </c>
      <c r="R18">
        <f t="shared" si="15"/>
        <v>511.31047297297295</v>
      </c>
      <c r="S18">
        <f t="shared" si="16"/>
        <v>6128.0000000000127</v>
      </c>
      <c r="T18" s="5">
        <v>302329</v>
      </c>
      <c r="U18" s="5">
        <v>47021</v>
      </c>
      <c r="V18" s="5">
        <v>71932</v>
      </c>
      <c r="W18" s="9">
        <f t="shared" si="2"/>
        <v>421282</v>
      </c>
      <c r="Y18" s="2">
        <f t="shared" si="9"/>
        <v>39255.136160000002</v>
      </c>
      <c r="Z18">
        <v>251.0091216216216</v>
      </c>
      <c r="AA18">
        <v>260.30135135135134</v>
      </c>
      <c r="AB18">
        <v>691.13175675675677</v>
      </c>
      <c r="AC18">
        <v>985.51158301158307</v>
      </c>
      <c r="AD18">
        <v>223.54594594594593</v>
      </c>
      <c r="AE18">
        <v>256.07876447876447</v>
      </c>
      <c r="AF18">
        <v>2116.5682432432432</v>
      </c>
      <c r="AG18">
        <v>2384.1169884169885</v>
      </c>
      <c r="AH18">
        <v>4084.3944128957164</v>
      </c>
      <c r="AI18">
        <v>4499.4779922779917</v>
      </c>
      <c r="AJ18">
        <v>2768.1489562904057</v>
      </c>
      <c r="AK18">
        <v>3359.8510437096074</v>
      </c>
      <c r="AL18">
        <v>5045.0000000000227</v>
      </c>
      <c r="AM18">
        <v>6165</v>
      </c>
      <c r="AO18" s="9">
        <f t="shared" si="3"/>
        <v>1.0181733608461037</v>
      </c>
      <c r="AP18" s="9">
        <f t="shared" si="4"/>
        <v>1.1755768918006737</v>
      </c>
      <c r="AQ18" s="9">
        <f t="shared" si="5"/>
        <v>1.0678297381801085</v>
      </c>
      <c r="AR18" s="9">
        <f t="shared" si="6"/>
        <v>1.0594462246085694</v>
      </c>
      <c r="AS18" s="9">
        <f t="shared" si="7"/>
        <v>1.0483562149796279</v>
      </c>
      <c r="AT18" s="9">
        <f t="shared" si="8"/>
        <v>1.0965571291480418</v>
      </c>
      <c r="AU18" s="9">
        <f t="shared" si="1"/>
        <v>1.0999107939339854</v>
      </c>
    </row>
    <row r="19" spans="1:47" ht="15.75">
      <c r="A19" s="5">
        <v>15</v>
      </c>
      <c r="B19" s="9">
        <v>2020</v>
      </c>
      <c r="C19" s="9" t="s">
        <v>4</v>
      </c>
      <c r="D19" s="9" t="s">
        <v>5</v>
      </c>
      <c r="E19" s="7" t="s">
        <v>6</v>
      </c>
      <c r="F19" s="5" t="s">
        <v>68</v>
      </c>
      <c r="G19" s="7" t="s">
        <v>8</v>
      </c>
      <c r="H19" s="7" t="s">
        <v>9</v>
      </c>
      <c r="I19" s="9" t="s">
        <v>45</v>
      </c>
      <c r="J19" s="9">
        <v>0.8</v>
      </c>
      <c r="K19" s="5">
        <v>3517</v>
      </c>
      <c r="L19" s="5">
        <v>6165</v>
      </c>
      <c r="M19" s="5">
        <f t="shared" si="10"/>
        <v>4928.7632239382237</v>
      </c>
      <c r="N19" s="5">
        <f t="shared" si="11"/>
        <v>9293.3254826254815</v>
      </c>
      <c r="O19">
        <f t="shared" si="12"/>
        <v>8411.94689166022</v>
      </c>
      <c r="P19">
        <f t="shared" si="13"/>
        <v>3219.9999999999982</v>
      </c>
      <c r="Q19">
        <f t="shared" si="14"/>
        <v>525.17065637065639</v>
      </c>
      <c r="R19">
        <f t="shared" si="15"/>
        <v>522.44290540540533</v>
      </c>
      <c r="S19">
        <f t="shared" si="16"/>
        <v>6128.0000000000146</v>
      </c>
      <c r="T19" s="5">
        <v>320769</v>
      </c>
      <c r="U19" s="5">
        <v>47021</v>
      </c>
      <c r="V19" s="5">
        <v>71932</v>
      </c>
      <c r="W19" s="9">
        <f t="shared" si="2"/>
        <v>439722</v>
      </c>
      <c r="Y19" s="2">
        <f t="shared" si="9"/>
        <v>39194.649160000001</v>
      </c>
      <c r="Z19">
        <v>258.44290540540538</v>
      </c>
      <c r="AA19">
        <v>264</v>
      </c>
      <c r="AB19">
        <v>1509.0499999999981</v>
      </c>
      <c r="AC19">
        <v>1710.95</v>
      </c>
      <c r="AD19">
        <v>249.57220077220074</v>
      </c>
      <c r="AE19">
        <v>275.59845559845559</v>
      </c>
      <c r="AF19">
        <v>2330.6072393822396</v>
      </c>
      <c r="AG19">
        <v>2598.1559845559846</v>
      </c>
      <c r="AH19">
        <v>4401.3548262548256</v>
      </c>
      <c r="AI19">
        <v>4891.9706563706559</v>
      </c>
      <c r="AJ19">
        <v>2768.1489562904085</v>
      </c>
      <c r="AK19">
        <v>3359.8510437096056</v>
      </c>
      <c r="AL19">
        <v>3855.8342181467183</v>
      </c>
      <c r="AM19">
        <v>4556.1126735135012</v>
      </c>
      <c r="AO19" s="9">
        <f t="shared" si="3"/>
        <v>1.0106367500392841</v>
      </c>
      <c r="AP19" s="9">
        <f t="shared" si="4"/>
        <v>1.0627018633540379</v>
      </c>
      <c r="AQ19" s="9">
        <f t="shared" si="5"/>
        <v>1.0495577094998352</v>
      </c>
      <c r="AR19" s="9">
        <f t="shared" si="6"/>
        <v>1.0542831402154405</v>
      </c>
      <c r="AS19" s="9">
        <f t="shared" si="7"/>
        <v>1.0527922788277533</v>
      </c>
      <c r="AT19" s="9">
        <f t="shared" si="8"/>
        <v>1.0965571291480409</v>
      </c>
      <c r="AU19" s="9">
        <f t="shared" si="1"/>
        <v>1.083248083277969</v>
      </c>
    </row>
    <row r="20" spans="1:47" ht="15.75">
      <c r="A20" s="5">
        <v>16</v>
      </c>
      <c r="B20" s="9">
        <v>2020</v>
      </c>
      <c r="C20" s="9" t="s">
        <v>4</v>
      </c>
      <c r="D20" s="9" t="s">
        <v>5</v>
      </c>
      <c r="E20" s="7" t="s">
        <v>6</v>
      </c>
      <c r="F20" s="5" t="s">
        <v>69</v>
      </c>
      <c r="G20" s="7" t="s">
        <v>8</v>
      </c>
      <c r="H20" s="7" t="s">
        <v>9</v>
      </c>
      <c r="I20" s="9" t="s">
        <v>45</v>
      </c>
      <c r="J20" s="9">
        <v>0.8</v>
      </c>
      <c r="K20" s="5">
        <v>3642</v>
      </c>
      <c r="L20" s="5">
        <v>6165</v>
      </c>
      <c r="M20" s="5">
        <f t="shared" si="10"/>
        <v>5089.2924710424713</v>
      </c>
      <c r="N20" s="5">
        <f t="shared" si="11"/>
        <v>9575.8784071042355</v>
      </c>
      <c r="O20">
        <f t="shared" si="12"/>
        <v>8833.0024131274149</v>
      </c>
      <c r="P20">
        <f t="shared" si="13"/>
        <v>2324.278957528958</v>
      </c>
      <c r="Q20">
        <f t="shared" si="14"/>
        <v>551.19691119691106</v>
      </c>
      <c r="R20">
        <f t="shared" si="15"/>
        <v>528</v>
      </c>
      <c r="S20">
        <f t="shared" si="16"/>
        <v>6128.0000000000073</v>
      </c>
      <c r="T20" s="5">
        <v>327263</v>
      </c>
      <c r="U20" s="5">
        <v>47021</v>
      </c>
      <c r="V20" s="5">
        <v>71932</v>
      </c>
      <c r="W20" s="9">
        <f t="shared" si="2"/>
        <v>446216</v>
      </c>
      <c r="Y20" s="2">
        <f t="shared" si="9"/>
        <v>39194.649159999994</v>
      </c>
      <c r="Z20">
        <v>264</v>
      </c>
      <c r="AA20">
        <v>264</v>
      </c>
      <c r="AB20">
        <v>1044.3875482625483</v>
      </c>
      <c r="AC20">
        <v>1279.8914092664095</v>
      </c>
      <c r="AD20">
        <v>262.58532818532814</v>
      </c>
      <c r="AE20">
        <v>288.61158301158298</v>
      </c>
      <c r="AF20">
        <v>2437.6267374517374</v>
      </c>
      <c r="AG20">
        <v>2651.6657335907339</v>
      </c>
      <c r="AH20">
        <v>4585.7845847104145</v>
      </c>
      <c r="AI20">
        <v>4990.0938223938219</v>
      </c>
      <c r="AJ20">
        <v>2768.1489562904067</v>
      </c>
      <c r="AK20">
        <v>3359.8510437096011</v>
      </c>
      <c r="AL20">
        <v>4136.1677123552126</v>
      </c>
      <c r="AM20">
        <v>4696.8347007722014</v>
      </c>
      <c r="AO20" s="9">
        <f t="shared" si="3"/>
        <v>1</v>
      </c>
      <c r="AP20" s="9">
        <f t="shared" si="4"/>
        <v>1.1013234062292743</v>
      </c>
      <c r="AQ20" s="9">
        <f t="shared" si="5"/>
        <v>1.0472177080414684</v>
      </c>
      <c r="AR20" s="9">
        <f t="shared" si="6"/>
        <v>1.0420567293699183</v>
      </c>
      <c r="AS20" s="9">
        <f t="shared" si="7"/>
        <v>1.0422216344542821</v>
      </c>
      <c r="AT20" s="9">
        <f t="shared" si="8"/>
        <v>1.0965571291480409</v>
      </c>
      <c r="AU20" s="9">
        <f t="shared" si="1"/>
        <v>1.0634741124471716</v>
      </c>
    </row>
    <row r="21" spans="1:47" ht="15.75">
      <c r="A21" s="5">
        <v>17</v>
      </c>
      <c r="B21" s="9">
        <v>2020</v>
      </c>
      <c r="C21" s="9" t="s">
        <v>4</v>
      </c>
      <c r="D21" s="9" t="s">
        <v>5</v>
      </c>
      <c r="E21" s="7" t="s">
        <v>6</v>
      </c>
      <c r="F21" s="5" t="s">
        <v>70</v>
      </c>
      <c r="G21" s="7" t="s">
        <v>8</v>
      </c>
      <c r="H21" s="7" t="s">
        <v>9</v>
      </c>
      <c r="I21" s="9" t="s">
        <v>45</v>
      </c>
      <c r="J21" s="9">
        <v>0.8</v>
      </c>
      <c r="K21" s="5">
        <v>3595</v>
      </c>
      <c r="L21" s="5">
        <v>6165</v>
      </c>
      <c r="M21" s="5">
        <f t="shared" si="10"/>
        <v>5089.2924710424713</v>
      </c>
      <c r="N21" s="5">
        <f t="shared" si="11"/>
        <v>9489.5718146718136</v>
      </c>
      <c r="O21">
        <f t="shared" si="12"/>
        <v>8802.2045654053982</v>
      </c>
      <c r="P21">
        <f t="shared" si="13"/>
        <v>2324.278957528958</v>
      </c>
      <c r="Q21">
        <f t="shared" si="14"/>
        <v>672</v>
      </c>
      <c r="R21">
        <f t="shared" si="15"/>
        <v>524.30135135135129</v>
      </c>
      <c r="S21">
        <f t="shared" si="16"/>
        <v>6128.0000000000055</v>
      </c>
      <c r="T21" s="5">
        <v>326933</v>
      </c>
      <c r="U21" s="5">
        <v>47021</v>
      </c>
      <c r="V21" s="5">
        <v>71932</v>
      </c>
      <c r="W21" s="9">
        <f t="shared" si="2"/>
        <v>445886</v>
      </c>
      <c r="Y21" s="2">
        <f t="shared" si="9"/>
        <v>39194.649160000001</v>
      </c>
      <c r="Z21">
        <v>260.30135135135134</v>
      </c>
      <c r="AA21">
        <v>264</v>
      </c>
      <c r="AB21">
        <v>1044.3875482625483</v>
      </c>
      <c r="AC21">
        <v>1279.8914092664095</v>
      </c>
      <c r="AD21">
        <v>335.7</v>
      </c>
      <c r="AE21">
        <v>336.3</v>
      </c>
      <c r="AF21">
        <v>2437.6267374517374</v>
      </c>
      <c r="AG21">
        <v>2651.6657335907339</v>
      </c>
      <c r="AH21">
        <v>4499.4779922779917</v>
      </c>
      <c r="AI21">
        <v>4990.0938223938219</v>
      </c>
      <c r="AJ21">
        <v>2768.1489562904057</v>
      </c>
      <c r="AK21">
        <v>3359.8510437095997</v>
      </c>
      <c r="AL21">
        <v>4105.3698646331968</v>
      </c>
      <c r="AM21">
        <v>4696.8347007722014</v>
      </c>
      <c r="AO21" s="9">
        <f t="shared" si="3"/>
        <v>1.0070544327973134</v>
      </c>
      <c r="AP21" s="9">
        <f t="shared" si="4"/>
        <v>1.1013234062292743</v>
      </c>
      <c r="AQ21" s="9">
        <f t="shared" si="5"/>
        <v>1.0008928571428573</v>
      </c>
      <c r="AR21" s="9">
        <f t="shared" si="6"/>
        <v>1.0420567293699183</v>
      </c>
      <c r="AS21" s="9">
        <f t="shared" si="7"/>
        <v>1.0517005234479906</v>
      </c>
      <c r="AT21" s="9">
        <f t="shared" si="8"/>
        <v>1.0965571291480407</v>
      </c>
      <c r="AU21" s="9">
        <f t="shared" si="1"/>
        <v>1.0671950795671792</v>
      </c>
    </row>
    <row r="22" spans="1:47" ht="15.75">
      <c r="A22" s="5">
        <v>18</v>
      </c>
      <c r="B22" s="9">
        <v>2020</v>
      </c>
      <c r="C22" s="9" t="s">
        <v>4</v>
      </c>
      <c r="D22" s="9" t="s">
        <v>39</v>
      </c>
      <c r="E22" s="7" t="s">
        <v>6</v>
      </c>
      <c r="F22" s="5" t="s">
        <v>48</v>
      </c>
      <c r="G22" s="7" t="s">
        <v>8</v>
      </c>
      <c r="H22" s="7" t="s">
        <v>9</v>
      </c>
      <c r="I22" s="9" t="s">
        <v>45</v>
      </c>
      <c r="J22" s="9">
        <v>0.8</v>
      </c>
      <c r="K22" s="5">
        <v>2972</v>
      </c>
      <c r="L22" s="5">
        <v>14299</v>
      </c>
      <c r="M22" s="5">
        <f t="shared" si="10"/>
        <v>6124.0000000000055</v>
      </c>
      <c r="N22" s="5">
        <f t="shared" si="11"/>
        <v>8026.0247734138975</v>
      </c>
      <c r="O22">
        <f t="shared" si="12"/>
        <v>6602.1914652567975</v>
      </c>
      <c r="P22">
        <f t="shared" si="13"/>
        <v>1397.6418995037734</v>
      </c>
      <c r="Q22">
        <f t="shared" si="14"/>
        <v>447.64229607250752</v>
      </c>
      <c r="R22">
        <f t="shared" si="15"/>
        <v>502.17545317220538</v>
      </c>
      <c r="S22">
        <f t="shared" si="16"/>
        <v>5536.2979125808151</v>
      </c>
      <c r="T22" s="5">
        <v>332973</v>
      </c>
      <c r="U22" s="5">
        <v>89477</v>
      </c>
      <c r="V22" s="5">
        <v>35475</v>
      </c>
      <c r="W22" s="9">
        <f t="shared" si="2"/>
        <v>457925</v>
      </c>
      <c r="Y22" s="2">
        <f t="shared" si="9"/>
        <v>42934.973800000007</v>
      </c>
      <c r="Z22">
        <v>248.17934290030209</v>
      </c>
      <c r="AA22">
        <v>253.99611027190329</v>
      </c>
      <c r="AB22">
        <v>601.48376132930514</v>
      </c>
      <c r="AC22">
        <v>796.15813817446815</v>
      </c>
      <c r="AD22">
        <v>213.63867069486403</v>
      </c>
      <c r="AE22">
        <v>234.00362537764349</v>
      </c>
      <c r="AF22">
        <v>2755.8000000000056</v>
      </c>
      <c r="AG22">
        <v>3368.2000000000003</v>
      </c>
      <c r="AH22">
        <v>3859.4540785498489</v>
      </c>
      <c r="AI22">
        <v>4166.5706948640482</v>
      </c>
      <c r="AJ22">
        <v>2768.1489562904089</v>
      </c>
      <c r="AK22">
        <v>2768.1489562904062</v>
      </c>
      <c r="AL22">
        <v>3081.7411253776436</v>
      </c>
      <c r="AM22">
        <v>3520.4503398791539</v>
      </c>
      <c r="AO22" s="9">
        <f t="shared" si="3"/>
        <v>1.0115831375963462</v>
      </c>
      <c r="AP22" s="9">
        <f t="shared" si="4"/>
        <v>1.139287736661502</v>
      </c>
      <c r="AQ22" s="9">
        <f t="shared" si="5"/>
        <v>1.0454938124959505</v>
      </c>
      <c r="AR22" s="9">
        <f t="shared" si="6"/>
        <v>1.0999999999999992</v>
      </c>
      <c r="AS22" s="9">
        <f t="shared" si="7"/>
        <v>1.038265096979456</v>
      </c>
      <c r="AT22" s="9">
        <f t="shared" si="8"/>
        <v>0.99999999999999956</v>
      </c>
      <c r="AU22" s="9">
        <f t="shared" si="1"/>
        <v>1.0664490293579281</v>
      </c>
    </row>
    <row r="23" spans="1:47" ht="15.75">
      <c r="A23" s="5">
        <v>19</v>
      </c>
      <c r="B23" s="9">
        <v>2020</v>
      </c>
      <c r="C23" s="9" t="s">
        <v>4</v>
      </c>
      <c r="D23" s="9" t="s">
        <v>39</v>
      </c>
      <c r="E23" s="7" t="s">
        <v>6</v>
      </c>
      <c r="F23" s="5" t="s">
        <v>59</v>
      </c>
      <c r="G23" s="7" t="s">
        <v>8</v>
      </c>
      <c r="H23" s="7" t="s">
        <v>9</v>
      </c>
      <c r="I23" s="9" t="s">
        <v>45</v>
      </c>
      <c r="J23" s="9">
        <v>0.8</v>
      </c>
      <c r="K23" s="5">
        <v>2751</v>
      </c>
      <c r="L23" s="5">
        <v>14299</v>
      </c>
      <c r="M23" s="5">
        <f t="shared" si="10"/>
        <v>3902.7016616314199</v>
      </c>
      <c r="N23" s="5">
        <f t="shared" si="11"/>
        <v>11503.999999999967</v>
      </c>
      <c r="O23">
        <f t="shared" si="12"/>
        <v>5730.7597242772244</v>
      </c>
      <c r="P23">
        <f t="shared" si="13"/>
        <v>1064.7601963746224</v>
      </c>
      <c r="Q23">
        <f t="shared" si="14"/>
        <v>406.91238670694861</v>
      </c>
      <c r="R23">
        <f t="shared" si="15"/>
        <v>490.54191842900298</v>
      </c>
      <c r="S23">
        <f t="shared" si="16"/>
        <v>5536.297912580816</v>
      </c>
      <c r="T23" s="5">
        <v>318592</v>
      </c>
      <c r="U23" s="5">
        <v>89447</v>
      </c>
      <c r="V23" s="5">
        <v>35475</v>
      </c>
      <c r="W23" s="9">
        <f t="shared" si="2"/>
        <v>443514</v>
      </c>
      <c r="Y23" s="2">
        <f t="shared" si="9"/>
        <v>42934.973799999992</v>
      </c>
      <c r="Z23">
        <v>242.36257552870089</v>
      </c>
      <c r="AA23">
        <v>248.17934290030209</v>
      </c>
      <c r="AB23">
        <v>417.20732628398792</v>
      </c>
      <c r="AC23">
        <v>647.55287009063443</v>
      </c>
      <c r="AD23">
        <v>193.27371601208458</v>
      </c>
      <c r="AE23">
        <v>213.63867069486403</v>
      </c>
      <c r="AF23">
        <v>1867.6104984894259</v>
      </c>
      <c r="AG23">
        <v>2035.091163141994</v>
      </c>
      <c r="AH23">
        <v>5176.7999999999674</v>
      </c>
      <c r="AI23">
        <v>6327.2000000000007</v>
      </c>
      <c r="AJ23">
        <v>2768.1489562904085</v>
      </c>
      <c r="AK23">
        <v>2768.1489562904071</v>
      </c>
      <c r="AL23">
        <v>2643.0319108761328</v>
      </c>
      <c r="AM23">
        <v>3087.7278134010917</v>
      </c>
      <c r="AO23" s="9">
        <f t="shared" si="3"/>
        <v>1.0118578395710398</v>
      </c>
      <c r="AP23" s="9">
        <f t="shared" si="4"/>
        <v>1.2163356073892926</v>
      </c>
      <c r="AQ23" s="9">
        <f t="shared" si="5"/>
        <v>1.0500475172249941</v>
      </c>
      <c r="AR23" s="9">
        <f t="shared" si="6"/>
        <v>1.0429140321688226</v>
      </c>
      <c r="AS23" s="9">
        <f t="shared" si="7"/>
        <v>1.1000000000000032</v>
      </c>
      <c r="AT23" s="9">
        <f t="shared" si="8"/>
        <v>0.99999999999999967</v>
      </c>
      <c r="AU23" s="9">
        <f t="shared" si="1"/>
        <v>1.0775980714461109</v>
      </c>
    </row>
    <row r="24" spans="1:47" ht="15.75">
      <c r="A24" s="5">
        <v>20</v>
      </c>
      <c r="B24" s="9">
        <v>2020</v>
      </c>
      <c r="C24" s="9" t="s">
        <v>4</v>
      </c>
      <c r="D24" s="9" t="s">
        <v>39</v>
      </c>
      <c r="E24" s="7" t="s">
        <v>6</v>
      </c>
      <c r="F24" s="5" t="s">
        <v>60</v>
      </c>
      <c r="G24" s="7" t="s">
        <v>8</v>
      </c>
      <c r="H24" s="7" t="s">
        <v>9</v>
      </c>
      <c r="I24" s="9" t="s">
        <v>45</v>
      </c>
      <c r="J24" s="9">
        <v>0.8</v>
      </c>
      <c r="K24" s="5">
        <v>3015</v>
      </c>
      <c r="L24" s="5">
        <v>14299</v>
      </c>
      <c r="M24" s="5">
        <f t="shared" si="10"/>
        <v>3567.7403323262843</v>
      </c>
      <c r="N24" s="5">
        <f t="shared" si="11"/>
        <v>6797.5583081570994</v>
      </c>
      <c r="O24">
        <f t="shared" si="12"/>
        <v>11209.999999999982</v>
      </c>
      <c r="P24">
        <f t="shared" si="13"/>
        <v>679.28638590862693</v>
      </c>
      <c r="Q24">
        <f t="shared" si="14"/>
        <v>366.1824773413897</v>
      </c>
      <c r="R24">
        <f t="shared" si="15"/>
        <v>478.90838368580057</v>
      </c>
      <c r="S24">
        <f t="shared" si="16"/>
        <v>5536.2979125808197</v>
      </c>
      <c r="T24" s="5">
        <v>320978</v>
      </c>
      <c r="U24" s="5">
        <v>89448</v>
      </c>
      <c r="V24" s="5">
        <v>35475</v>
      </c>
      <c r="W24" s="9">
        <f t="shared" si="2"/>
        <v>445901</v>
      </c>
      <c r="Y24" s="2">
        <f t="shared" si="9"/>
        <v>42934.9738</v>
      </c>
      <c r="Z24">
        <v>238</v>
      </c>
      <c r="AA24">
        <v>240.9083836858006</v>
      </c>
      <c r="AB24">
        <v>279</v>
      </c>
      <c r="AC24">
        <v>400.28638590862687</v>
      </c>
      <c r="AD24">
        <v>178</v>
      </c>
      <c r="AE24">
        <v>188.18247734138973</v>
      </c>
      <c r="AF24">
        <v>1742</v>
      </c>
      <c r="AG24">
        <v>1825.740332326284</v>
      </c>
      <c r="AH24">
        <v>3322</v>
      </c>
      <c r="AI24">
        <v>3475.5583081570994</v>
      </c>
      <c r="AJ24">
        <v>2768.1489562904062</v>
      </c>
      <c r="AK24">
        <v>2768.148956290413</v>
      </c>
      <c r="AL24">
        <v>5044.9999999999827</v>
      </c>
      <c r="AM24">
        <v>6165</v>
      </c>
      <c r="AO24" s="9">
        <f t="shared" si="3"/>
        <v>1.0060729437714515</v>
      </c>
      <c r="AP24" s="9">
        <f t="shared" si="4"/>
        <v>1.1785497080828313</v>
      </c>
      <c r="AQ24" s="9">
        <f t="shared" si="5"/>
        <v>1.0278071124957098</v>
      </c>
      <c r="AR24" s="9">
        <f t="shared" si="6"/>
        <v>1.0234715322658257</v>
      </c>
      <c r="AS24" s="9">
        <f t="shared" si="7"/>
        <v>1.0225902156621192</v>
      </c>
      <c r="AT24" s="9">
        <f t="shared" si="8"/>
        <v>1.0000000000000011</v>
      </c>
      <c r="AU24" s="9">
        <f t="shared" si="1"/>
        <v>1.0999107939339894</v>
      </c>
    </row>
    <row r="25" spans="1:47" ht="15.75">
      <c r="A25" s="5">
        <f>A24+1</f>
        <v>21</v>
      </c>
      <c r="B25" s="9">
        <v>2020</v>
      </c>
      <c r="C25" s="9" t="s">
        <v>4</v>
      </c>
      <c r="D25" s="9" t="s">
        <v>39</v>
      </c>
      <c r="E25" s="7" t="s">
        <v>6</v>
      </c>
      <c r="F25" s="5" t="s">
        <v>68</v>
      </c>
      <c r="G25" s="7" t="s">
        <v>8</v>
      </c>
      <c r="H25" s="7" t="s">
        <v>9</v>
      </c>
      <c r="I25" s="9" t="s">
        <v>45</v>
      </c>
      <c r="J25" s="9">
        <v>0.8</v>
      </c>
      <c r="K25" s="5">
        <v>3158</v>
      </c>
      <c r="L25" s="5">
        <v>14299</v>
      </c>
      <c r="M25" s="5">
        <f t="shared" si="10"/>
        <v>4237.6629909365565</v>
      </c>
      <c r="N25" s="5">
        <f t="shared" si="11"/>
        <v>8026.0247734138975</v>
      </c>
      <c r="O25">
        <f t="shared" si="12"/>
        <v>6666.1703738240267</v>
      </c>
      <c r="P25">
        <f t="shared" si="13"/>
        <v>3219.9999999999964</v>
      </c>
      <c r="Q25">
        <f t="shared" si="14"/>
        <v>447.64229607250752</v>
      </c>
      <c r="R25">
        <f t="shared" si="15"/>
        <v>502.17545317220538</v>
      </c>
      <c r="S25">
        <f t="shared" si="16"/>
        <v>5536.2979125808179</v>
      </c>
      <c r="T25" s="5">
        <v>341426</v>
      </c>
      <c r="U25" s="5">
        <v>89448</v>
      </c>
      <c r="V25" s="5">
        <v>35475</v>
      </c>
      <c r="W25" s="9">
        <f t="shared" si="2"/>
        <v>466349</v>
      </c>
      <c r="Y25" s="2">
        <f t="shared" si="9"/>
        <v>42934.973800000007</v>
      </c>
      <c r="Z25">
        <v>248.17934290030209</v>
      </c>
      <c r="AA25">
        <v>253.99611027190329</v>
      </c>
      <c r="AB25">
        <v>1509.0499999999961</v>
      </c>
      <c r="AC25">
        <v>1710.95</v>
      </c>
      <c r="AD25">
        <v>213.63867069486403</v>
      </c>
      <c r="AE25">
        <v>234.00362537764349</v>
      </c>
      <c r="AF25">
        <v>2035.091163141994</v>
      </c>
      <c r="AG25">
        <v>2202.5718277945621</v>
      </c>
      <c r="AH25">
        <v>3859.4540785498489</v>
      </c>
      <c r="AI25">
        <v>4166.5706948640482</v>
      </c>
      <c r="AJ25">
        <v>2768.148956290408</v>
      </c>
      <c r="AK25">
        <v>2768.1489562904098</v>
      </c>
      <c r="AL25">
        <v>3081.7411253776436</v>
      </c>
      <c r="AM25">
        <v>3584.4292484463831</v>
      </c>
      <c r="AO25" s="9">
        <f t="shared" si="3"/>
        <v>1.0115831375963462</v>
      </c>
      <c r="AP25" s="9">
        <f t="shared" si="4"/>
        <v>1.0627018633540386</v>
      </c>
      <c r="AQ25" s="9">
        <f t="shared" si="5"/>
        <v>1.0454938124959505</v>
      </c>
      <c r="AR25" s="9">
        <f t="shared" si="6"/>
        <v>1.0395219405155087</v>
      </c>
      <c r="AS25" s="9">
        <f t="shared" si="7"/>
        <v>1.038265096979456</v>
      </c>
      <c r="AT25" s="9">
        <f t="shared" si="8"/>
        <v>1.0000000000000002</v>
      </c>
      <c r="AU25" s="9">
        <f t="shared" si="1"/>
        <v>1.0754088321898641</v>
      </c>
    </row>
    <row r="26" spans="1:47" ht="15.75">
      <c r="A26" s="5">
        <f>A25+1</f>
        <v>22</v>
      </c>
      <c r="B26" s="9">
        <v>2020</v>
      </c>
      <c r="C26" s="9" t="s">
        <v>4</v>
      </c>
      <c r="D26" s="9" t="s">
        <v>39</v>
      </c>
      <c r="E26" s="7" t="s">
        <v>6</v>
      </c>
      <c r="F26" s="5" t="s">
        <v>69</v>
      </c>
      <c r="G26" s="7" t="s">
        <v>8</v>
      </c>
      <c r="H26" s="7" t="s">
        <v>9</v>
      </c>
      <c r="I26" s="9" t="s">
        <v>45</v>
      </c>
      <c r="J26" s="9">
        <v>0.8</v>
      </c>
      <c r="K26" s="5">
        <v>2825</v>
      </c>
      <c r="L26" s="5">
        <v>14299</v>
      </c>
      <c r="M26" s="5">
        <f t="shared" si="10"/>
        <v>4405.1436555891232</v>
      </c>
      <c r="N26" s="5">
        <f t="shared" si="11"/>
        <v>8333.1413897280963</v>
      </c>
      <c r="O26">
        <f t="shared" si="12"/>
        <v>7095.6050024169135</v>
      </c>
      <c r="P26">
        <f t="shared" si="13"/>
        <v>1617.5895015105741</v>
      </c>
      <c r="Q26">
        <f t="shared" si="14"/>
        <v>468.00725075528698</v>
      </c>
      <c r="R26">
        <f t="shared" si="15"/>
        <v>528</v>
      </c>
      <c r="S26">
        <f t="shared" si="16"/>
        <v>6128.0000000000073</v>
      </c>
      <c r="T26" s="5">
        <v>338884</v>
      </c>
      <c r="U26" s="5">
        <v>89447</v>
      </c>
      <c r="V26" s="5">
        <v>35475</v>
      </c>
      <c r="W26" s="9">
        <f t="shared" si="2"/>
        <v>463806</v>
      </c>
      <c r="Y26" s="2">
        <f t="shared" si="9"/>
        <v>42874.486800000006</v>
      </c>
      <c r="Z26">
        <v>264</v>
      </c>
      <c r="AA26">
        <v>264</v>
      </c>
      <c r="AB26">
        <v>693.62197885196383</v>
      </c>
      <c r="AC26">
        <v>923.96752265861028</v>
      </c>
      <c r="AD26">
        <v>223.82114803625376</v>
      </c>
      <c r="AE26">
        <v>244.18610271903322</v>
      </c>
      <c r="AF26">
        <v>2118.8314954682778</v>
      </c>
      <c r="AG26">
        <v>2286.3121601208459</v>
      </c>
      <c r="AH26">
        <v>4013.0123867069483</v>
      </c>
      <c r="AI26">
        <v>4320.1290030211476</v>
      </c>
      <c r="AJ26">
        <v>2768.1489562904062</v>
      </c>
      <c r="AK26">
        <v>3359.8510437096011</v>
      </c>
      <c r="AL26">
        <v>3301.0957326283988</v>
      </c>
      <c r="AM26">
        <v>3794.5092697885148</v>
      </c>
      <c r="AO26" s="9">
        <f t="shared" si="3"/>
        <v>1</v>
      </c>
      <c r="AP26" s="9">
        <f t="shared" si="4"/>
        <v>1.1424004938159773</v>
      </c>
      <c r="AQ26" s="9">
        <f t="shared" si="5"/>
        <v>1.0435141862650925</v>
      </c>
      <c r="AR26" s="9">
        <f t="shared" si="6"/>
        <v>1.0380193423295228</v>
      </c>
      <c r="AS26" s="9">
        <f t="shared" si="7"/>
        <v>1.0368548428438726</v>
      </c>
      <c r="AT26" s="9">
        <f t="shared" si="8"/>
        <v>1.0965571291480409</v>
      </c>
      <c r="AU26" s="9">
        <f t="shared" si="1"/>
        <v>1.0695379093103476</v>
      </c>
    </row>
    <row r="27" spans="1:47" ht="15.75">
      <c r="A27" s="5">
        <f>A26+1</f>
        <v>23</v>
      </c>
      <c r="B27" s="9">
        <v>2020</v>
      </c>
      <c r="C27" s="9" t="s">
        <v>4</v>
      </c>
      <c r="D27" s="9" t="s">
        <v>39</v>
      </c>
      <c r="E27" s="7" t="s">
        <v>6</v>
      </c>
      <c r="F27" s="5" t="s">
        <v>70</v>
      </c>
      <c r="G27" s="7" t="s">
        <v>8</v>
      </c>
      <c r="H27" s="7" t="s">
        <v>9</v>
      </c>
      <c r="I27" s="9" t="s">
        <v>45</v>
      </c>
      <c r="J27" s="9">
        <v>0.8</v>
      </c>
      <c r="K27" s="5">
        <v>2924</v>
      </c>
      <c r="L27" s="5">
        <v>14299</v>
      </c>
      <c r="M27" s="5">
        <f t="shared" si="10"/>
        <v>4405.1436555891232</v>
      </c>
      <c r="N27" s="5">
        <f t="shared" si="11"/>
        <v>8333.1413897280963</v>
      </c>
      <c r="O27">
        <f t="shared" si="12"/>
        <v>7040.9006797583079</v>
      </c>
      <c r="P27">
        <f t="shared" si="13"/>
        <v>1571.5203927492448</v>
      </c>
      <c r="Q27">
        <f t="shared" si="14"/>
        <v>672.00000000000068</v>
      </c>
      <c r="R27">
        <f t="shared" si="15"/>
        <v>507.99222054380658</v>
      </c>
      <c r="S27">
        <f t="shared" si="16"/>
        <v>6081.0806616314239</v>
      </c>
      <c r="T27" s="5">
        <v>339303</v>
      </c>
      <c r="U27" s="5">
        <v>89448</v>
      </c>
      <c r="V27" s="5">
        <v>35475</v>
      </c>
      <c r="W27" s="9">
        <f t="shared" si="2"/>
        <v>464226</v>
      </c>
      <c r="Y27" s="2">
        <f t="shared" si="9"/>
        <v>42910.779000000002</v>
      </c>
      <c r="Z27">
        <v>251.08772658610269</v>
      </c>
      <c r="AA27">
        <v>256.90449395770389</v>
      </c>
      <c r="AB27">
        <v>693.62197885196383</v>
      </c>
      <c r="AC27">
        <v>877.89841389728099</v>
      </c>
      <c r="AD27">
        <v>335.70000000000067</v>
      </c>
      <c r="AE27">
        <v>336.3</v>
      </c>
      <c r="AF27">
        <v>2118.8314954682778</v>
      </c>
      <c r="AG27">
        <v>2286.3121601208459</v>
      </c>
      <c r="AH27">
        <v>4013.0123867069483</v>
      </c>
      <c r="AI27">
        <v>4320.1290030211476</v>
      </c>
      <c r="AJ27">
        <v>2768.1489562904076</v>
      </c>
      <c r="AK27">
        <v>3312.9317053410164</v>
      </c>
      <c r="AL27">
        <v>3301.0957326283988</v>
      </c>
      <c r="AM27">
        <v>3739.8049471299091</v>
      </c>
      <c r="AO27" s="9">
        <f t="shared" si="3"/>
        <v>1.0114505048234288</v>
      </c>
      <c r="AP27" s="9">
        <f t="shared" si="4"/>
        <v>1.1172599705963349</v>
      </c>
      <c r="AQ27" s="9">
        <f t="shared" si="5"/>
        <v>1.0008928571428561</v>
      </c>
      <c r="AR27" s="9">
        <f t="shared" si="6"/>
        <v>1.0380193423295228</v>
      </c>
      <c r="AS27" s="9">
        <f t="shared" si="7"/>
        <v>1.0368548428438726</v>
      </c>
      <c r="AT27" s="9">
        <f t="shared" si="8"/>
        <v>1.0895865026898781</v>
      </c>
      <c r="AU27" s="9">
        <f t="shared" si="1"/>
        <v>1.0623086781727717</v>
      </c>
    </row>
    <row r="28" spans="1:47" ht="15.75">
      <c r="A28" s="5">
        <f>A27+1</f>
        <v>24</v>
      </c>
      <c r="B28" s="9">
        <v>2020</v>
      </c>
      <c r="C28" s="9" t="s">
        <v>4</v>
      </c>
      <c r="D28" s="9" t="s">
        <v>39</v>
      </c>
      <c r="E28" s="7" t="s">
        <v>6</v>
      </c>
      <c r="F28" s="7" t="s">
        <v>7</v>
      </c>
      <c r="G28" s="7" t="s">
        <v>8</v>
      </c>
      <c r="H28" s="7" t="s">
        <v>9</v>
      </c>
      <c r="I28" s="9" t="s">
        <v>47</v>
      </c>
      <c r="J28" s="9">
        <v>0.8</v>
      </c>
      <c r="K28" s="5">
        <v>2250</v>
      </c>
      <c r="L28" s="5">
        <v>14299</v>
      </c>
      <c r="M28" s="5">
        <f t="shared" si="10"/>
        <v>4405.1436555891241</v>
      </c>
      <c r="N28" s="5">
        <f t="shared" si="11"/>
        <v>8333.1413897280963</v>
      </c>
      <c r="O28">
        <f t="shared" si="12"/>
        <v>7115.6127818731056</v>
      </c>
      <c r="P28">
        <f t="shared" si="13"/>
        <v>1617.5895015105741</v>
      </c>
      <c r="Q28">
        <f t="shared" si="14"/>
        <v>468.00725075528698</v>
      </c>
      <c r="R28">
        <f t="shared" si="15"/>
        <v>507.99222054380664</v>
      </c>
      <c r="S28">
        <f t="shared" si="16"/>
        <v>6128.0000000000073</v>
      </c>
      <c r="T28" s="5">
        <v>340919</v>
      </c>
      <c r="U28" s="5">
        <v>89447</v>
      </c>
      <c r="V28" s="5">
        <v>35475</v>
      </c>
      <c r="W28" s="9">
        <f t="shared" si="2"/>
        <v>465841</v>
      </c>
      <c r="Y28" s="2">
        <f t="shared" si="9"/>
        <v>42874.486799999999</v>
      </c>
      <c r="Z28">
        <v>248.17934290030209</v>
      </c>
      <c r="AA28">
        <v>259.81287764350452</v>
      </c>
      <c r="AB28">
        <v>601.48376132930514</v>
      </c>
      <c r="AC28">
        <v>1016.105740181269</v>
      </c>
      <c r="AD28">
        <v>213.63867069486403</v>
      </c>
      <c r="AE28">
        <v>254.36858006042294</v>
      </c>
      <c r="AF28">
        <v>2035.091163141994</v>
      </c>
      <c r="AG28">
        <v>2370.0524924471301</v>
      </c>
      <c r="AH28">
        <v>3859.4540785498489</v>
      </c>
      <c r="AI28">
        <v>4473.687311178247</v>
      </c>
      <c r="AJ28">
        <v>2768.1489562904076</v>
      </c>
      <c r="AK28">
        <v>3359.8510437096002</v>
      </c>
      <c r="AL28">
        <v>3081.7411253776436</v>
      </c>
      <c r="AM28">
        <v>4033.871656495462</v>
      </c>
      <c r="AO28" s="9">
        <f t="shared" si="3"/>
        <v>1.0229010096468578</v>
      </c>
      <c r="AP28" s="9">
        <f t="shared" si="4"/>
        <v>1.2563208888687594</v>
      </c>
      <c r="AQ28" s="9">
        <f t="shared" si="5"/>
        <v>1.0870283725301852</v>
      </c>
      <c r="AR28" s="9">
        <f t="shared" si="6"/>
        <v>1.0760386846590455</v>
      </c>
      <c r="AS28" s="9">
        <f t="shared" si="7"/>
        <v>1.0737096856877451</v>
      </c>
      <c r="AT28" s="9">
        <f t="shared" si="8"/>
        <v>1.0965571291480405</v>
      </c>
      <c r="AU28" s="9">
        <f t="shared" si="1"/>
        <v>1.1338086487144654</v>
      </c>
    </row>
    <row r="29" spans="1:47" ht="15.75">
      <c r="A29" s="5">
        <f>A28+1</f>
        <v>25</v>
      </c>
      <c r="B29" s="9">
        <v>2020</v>
      </c>
      <c r="C29" s="9" t="s">
        <v>4</v>
      </c>
      <c r="D29" s="9" t="s">
        <v>5</v>
      </c>
      <c r="E29" s="7" t="s">
        <v>6</v>
      </c>
      <c r="F29" s="7" t="s">
        <v>7</v>
      </c>
      <c r="G29" s="7" t="s">
        <v>8</v>
      </c>
      <c r="H29" s="7" t="s">
        <v>9</v>
      </c>
      <c r="I29" s="9" t="s">
        <v>47</v>
      </c>
      <c r="J29" s="9">
        <v>0.8</v>
      </c>
      <c r="K29" s="5">
        <v>2928</v>
      </c>
      <c r="L29" s="5">
        <v>6165</v>
      </c>
      <c r="M29" s="5">
        <f t="shared" si="10"/>
        <v>5089.2924710424713</v>
      </c>
      <c r="N29" s="5">
        <f t="shared" si="11"/>
        <v>9583.2939476447827</v>
      </c>
      <c r="O29">
        <f t="shared" si="12"/>
        <v>8833.0024131274131</v>
      </c>
      <c r="P29">
        <f t="shared" si="13"/>
        <v>2324.278957528958</v>
      </c>
      <c r="Q29">
        <f t="shared" si="14"/>
        <v>551.19691119691106</v>
      </c>
      <c r="R29">
        <f t="shared" si="15"/>
        <v>520.58445945945937</v>
      </c>
      <c r="S29">
        <f t="shared" si="16"/>
        <v>6128.0000000000027</v>
      </c>
      <c r="T29" s="5">
        <v>329040</v>
      </c>
      <c r="U29" s="5">
        <v>47021</v>
      </c>
      <c r="V29" s="5">
        <v>71932</v>
      </c>
      <c r="W29" s="9">
        <f t="shared" si="2"/>
        <v>447993</v>
      </c>
      <c r="Y29" s="2">
        <f t="shared" si="9"/>
        <v>39194.649159999994</v>
      </c>
      <c r="Z29">
        <v>256.58445945945942</v>
      </c>
      <c r="AA29">
        <v>264</v>
      </c>
      <c r="AB29">
        <v>926.63561776061783</v>
      </c>
      <c r="AC29">
        <v>1397.64333976834</v>
      </c>
      <c r="AD29">
        <v>249.57220077220074</v>
      </c>
      <c r="AE29">
        <v>301.62471042471037</v>
      </c>
      <c r="AF29">
        <v>2330.6072393822396</v>
      </c>
      <c r="AG29">
        <v>2758.6852316602317</v>
      </c>
      <c r="AH29">
        <v>4396.9537932046287</v>
      </c>
      <c r="AI29">
        <v>5186.340154440154</v>
      </c>
      <c r="AJ29">
        <v>2768.1489562904062</v>
      </c>
      <c r="AK29">
        <v>3359.8510437095965</v>
      </c>
      <c r="AL29">
        <v>3855.8342181467183</v>
      </c>
      <c r="AM29">
        <v>4977.1681949806953</v>
      </c>
      <c r="AO29" s="9">
        <f t="shared" si="3"/>
        <v>1.0142446444679514</v>
      </c>
      <c r="AP29" s="9">
        <f t="shared" si="4"/>
        <v>1.2026468124585488</v>
      </c>
      <c r="AQ29" s="9">
        <f t="shared" si="5"/>
        <v>1.0944354160829364</v>
      </c>
      <c r="AR29" s="9">
        <f t="shared" si="6"/>
        <v>1.0841134587398367</v>
      </c>
      <c r="AS29" s="9">
        <f t="shared" si="7"/>
        <v>1.0823710892672271</v>
      </c>
      <c r="AT29" s="9">
        <f t="shared" si="8"/>
        <v>1.09655712914804</v>
      </c>
      <c r="AU29" s="9">
        <f t="shared" si="1"/>
        <v>1.1269482248943434</v>
      </c>
    </row>
    <row r="30" spans="1:47" ht="15.75">
      <c r="A30" s="5">
        <f t="shared" ref="A30:A41" si="17">A29+1</f>
        <v>26</v>
      </c>
      <c r="B30" s="9">
        <v>2020</v>
      </c>
      <c r="C30" s="9" t="s">
        <v>4</v>
      </c>
      <c r="D30" s="9" t="s">
        <v>5</v>
      </c>
      <c r="E30" s="7" t="s">
        <v>6</v>
      </c>
      <c r="F30" s="5" t="s">
        <v>48</v>
      </c>
      <c r="G30" s="7" t="s">
        <v>8</v>
      </c>
      <c r="H30" s="7" t="s">
        <v>9</v>
      </c>
      <c r="I30" s="9" t="s">
        <v>47</v>
      </c>
      <c r="J30" s="9">
        <v>0.8</v>
      </c>
      <c r="K30" s="5">
        <v>2688</v>
      </c>
      <c r="L30" s="5">
        <v>6165</v>
      </c>
      <c r="M30" s="5">
        <f t="shared" si="10"/>
        <v>6123.9999999999991</v>
      </c>
      <c r="N30" s="5">
        <f t="shared" si="11"/>
        <v>9293.3254826254815</v>
      </c>
      <c r="O30">
        <f t="shared" si="12"/>
        <v>8412.1389109652464</v>
      </c>
      <c r="P30">
        <f t="shared" si="13"/>
        <v>2088.7750965250971</v>
      </c>
      <c r="Q30">
        <f t="shared" si="14"/>
        <v>525.17065637065639</v>
      </c>
      <c r="R30">
        <f t="shared" si="15"/>
        <v>518.72601351351352</v>
      </c>
      <c r="S30">
        <f t="shared" si="16"/>
        <v>6128.0000000000073</v>
      </c>
      <c r="T30" s="5">
        <v>314625</v>
      </c>
      <c r="U30" s="5">
        <v>47021</v>
      </c>
      <c r="V30" s="5">
        <v>71932</v>
      </c>
      <c r="W30" s="9">
        <f t="shared" si="2"/>
        <v>433578</v>
      </c>
      <c r="Y30" s="2">
        <f t="shared" si="9"/>
        <v>39255.136160000002</v>
      </c>
      <c r="Z30">
        <v>254.72601351351349</v>
      </c>
      <c r="AA30">
        <v>264</v>
      </c>
      <c r="AB30">
        <v>808.88368725868736</v>
      </c>
      <c r="AC30">
        <v>1279.8914092664095</v>
      </c>
      <c r="AD30">
        <v>236.55907335907335</v>
      </c>
      <c r="AE30">
        <v>288.61158301158298</v>
      </c>
      <c r="AF30">
        <v>2755.7999999999988</v>
      </c>
      <c r="AG30">
        <v>3368.2000000000003</v>
      </c>
      <c r="AH30">
        <v>4205.1084942084935</v>
      </c>
      <c r="AI30">
        <v>5088.216988416988</v>
      </c>
      <c r="AJ30">
        <v>2768.1489562904053</v>
      </c>
      <c r="AK30">
        <v>3359.851043709602</v>
      </c>
      <c r="AL30">
        <v>3575.5007239382239</v>
      </c>
      <c r="AM30">
        <v>4836.6381870270225</v>
      </c>
      <c r="AO30" s="9">
        <f t="shared" si="3"/>
        <v>1.0178783909904008</v>
      </c>
      <c r="AP30" s="9">
        <f t="shared" si="4"/>
        <v>1.2254947039493596</v>
      </c>
      <c r="AQ30" s="9">
        <f t="shared" si="5"/>
        <v>1.0991154189996706</v>
      </c>
      <c r="AR30" s="9">
        <f t="shared" si="6"/>
        <v>1.1000000000000003</v>
      </c>
      <c r="AS30" s="9">
        <f t="shared" si="7"/>
        <v>1.0950261018899561</v>
      </c>
      <c r="AT30" s="9">
        <f t="shared" si="8"/>
        <v>1.0965571291480412</v>
      </c>
      <c r="AU30" s="9">
        <f t="shared" si="1"/>
        <v>1.1499187634009351</v>
      </c>
    </row>
    <row r="31" spans="1:47" ht="15.75">
      <c r="A31" s="5">
        <f t="shared" si="17"/>
        <v>27</v>
      </c>
      <c r="B31" s="9">
        <v>2020</v>
      </c>
      <c r="C31" s="9" t="s">
        <v>4</v>
      </c>
      <c r="D31" s="9" t="s">
        <v>5</v>
      </c>
      <c r="E31" s="7" t="s">
        <v>6</v>
      </c>
      <c r="F31" s="5" t="s">
        <v>59</v>
      </c>
      <c r="G31" s="7" t="s">
        <v>8</v>
      </c>
      <c r="H31" s="7" t="s">
        <v>9</v>
      </c>
      <c r="I31" s="9" t="s">
        <v>47</v>
      </c>
      <c r="J31" s="9">
        <v>0.8</v>
      </c>
      <c r="K31" s="5">
        <v>2606</v>
      </c>
      <c r="L31" s="5">
        <v>6165</v>
      </c>
      <c r="M31" s="5">
        <f t="shared" si="10"/>
        <v>4714.7242277992282</v>
      </c>
      <c r="N31" s="5">
        <f t="shared" si="11"/>
        <v>11504.000000000002</v>
      </c>
      <c r="O31">
        <f t="shared" si="12"/>
        <v>7851.835183397684</v>
      </c>
      <c r="P31">
        <f t="shared" si="13"/>
        <v>1877.4232256370578</v>
      </c>
      <c r="Q31">
        <f t="shared" si="14"/>
        <v>499.14440154440149</v>
      </c>
      <c r="R31">
        <f t="shared" si="15"/>
        <v>515.0091216216216</v>
      </c>
      <c r="S31">
        <f t="shared" si="16"/>
        <v>6128.0000000000027</v>
      </c>
      <c r="T31" s="5">
        <v>302059</v>
      </c>
      <c r="U31" s="5">
        <v>47021</v>
      </c>
      <c r="V31" s="5">
        <v>71932</v>
      </c>
      <c r="W31" s="9">
        <f t="shared" si="2"/>
        <v>421012</v>
      </c>
      <c r="Y31" s="2">
        <f t="shared" si="9"/>
        <v>39255.136159999995</v>
      </c>
      <c r="Z31">
        <v>251.0091216216216</v>
      </c>
      <c r="AA31">
        <v>264</v>
      </c>
      <c r="AB31">
        <v>691.13175675675677</v>
      </c>
      <c r="AC31">
        <v>1186.291468880301</v>
      </c>
      <c r="AD31">
        <v>223.54594594594593</v>
      </c>
      <c r="AE31">
        <v>275.59845559845559</v>
      </c>
      <c r="AF31">
        <v>2116.5682432432432</v>
      </c>
      <c r="AG31">
        <v>2598.1559845559846</v>
      </c>
      <c r="AH31">
        <v>5176.8000000000011</v>
      </c>
      <c r="AI31">
        <v>6327.2000000000007</v>
      </c>
      <c r="AJ31">
        <v>2768.1489562904053</v>
      </c>
      <c r="AK31">
        <v>3359.8510437095974</v>
      </c>
      <c r="AL31">
        <v>3295.16722972973</v>
      </c>
      <c r="AM31">
        <v>4556.667953667954</v>
      </c>
      <c r="AO31" s="9">
        <f t="shared" si="3"/>
        <v>1.0252245597854146</v>
      </c>
      <c r="AP31" s="9">
        <f t="shared" si="4"/>
        <v>1.2637443200669491</v>
      </c>
      <c r="AQ31" s="9">
        <f t="shared" si="5"/>
        <v>1.1042834688548127</v>
      </c>
      <c r="AR31" s="9">
        <f t="shared" si="6"/>
        <v>1.1021454740604288</v>
      </c>
      <c r="AS31" s="9">
        <f t="shared" si="7"/>
        <v>1.0999999999999999</v>
      </c>
      <c r="AT31" s="9">
        <f t="shared" si="8"/>
        <v>1.0965571291480405</v>
      </c>
      <c r="AU31" s="9">
        <f t="shared" si="1"/>
        <v>1.1606631691156233</v>
      </c>
    </row>
    <row r="32" spans="1:47" ht="15.75">
      <c r="A32" s="5">
        <f t="shared" si="17"/>
        <v>28</v>
      </c>
      <c r="B32" s="9">
        <v>2020</v>
      </c>
      <c r="C32" s="9" t="s">
        <v>4</v>
      </c>
      <c r="D32" s="9" t="s">
        <v>5</v>
      </c>
      <c r="E32" s="7" t="s">
        <v>6</v>
      </c>
      <c r="F32" s="5" t="s">
        <v>60</v>
      </c>
      <c r="G32" s="7" t="s">
        <v>8</v>
      </c>
      <c r="H32" s="7" t="s">
        <v>9</v>
      </c>
      <c r="I32" s="9" t="s">
        <v>47</v>
      </c>
      <c r="J32" s="9">
        <v>0.8</v>
      </c>
      <c r="K32" s="5">
        <v>2826</v>
      </c>
      <c r="L32" s="5">
        <v>6165</v>
      </c>
      <c r="M32" s="5">
        <f t="shared" si="10"/>
        <v>4500.6852316602317</v>
      </c>
      <c r="N32" s="5">
        <f t="shared" si="11"/>
        <v>8535.4004746718092</v>
      </c>
      <c r="O32">
        <f t="shared" si="12"/>
        <v>11210</v>
      </c>
      <c r="P32">
        <f t="shared" si="13"/>
        <v>1725.1335135135137</v>
      </c>
      <c r="Q32">
        <f t="shared" si="14"/>
        <v>479.62471042471043</v>
      </c>
      <c r="R32">
        <f t="shared" si="15"/>
        <v>511.29222972972968</v>
      </c>
      <c r="S32">
        <f t="shared" si="16"/>
        <v>6128.0000000000073</v>
      </c>
      <c r="T32" s="5">
        <v>302693</v>
      </c>
      <c r="U32" s="5">
        <v>47021</v>
      </c>
      <c r="V32" s="5">
        <v>71932</v>
      </c>
      <c r="W32" s="9">
        <f t="shared" si="2"/>
        <v>421646</v>
      </c>
      <c r="Y32" s="2">
        <f t="shared" si="9"/>
        <v>39255.136159999995</v>
      </c>
      <c r="Z32">
        <v>247.29222972972971</v>
      </c>
      <c r="AA32">
        <v>264</v>
      </c>
      <c r="AB32">
        <v>621.87</v>
      </c>
      <c r="AC32">
        <v>1103.2635135135135</v>
      </c>
      <c r="AD32">
        <v>210.53281853281854</v>
      </c>
      <c r="AE32">
        <v>269.09189189189186</v>
      </c>
      <c r="AF32">
        <v>2009.5487451737451</v>
      </c>
      <c r="AG32">
        <v>2491.1364864864868</v>
      </c>
      <c r="AH32">
        <v>3839.6761503474845</v>
      </c>
      <c r="AI32">
        <v>4695.7243243243238</v>
      </c>
      <c r="AJ32">
        <v>2768.1489562904044</v>
      </c>
      <c r="AK32">
        <v>3359.8510437096029</v>
      </c>
      <c r="AL32">
        <v>5045</v>
      </c>
      <c r="AM32">
        <v>6165</v>
      </c>
      <c r="AO32" s="9">
        <f t="shared" si="3"/>
        <v>1.0326775360523317</v>
      </c>
      <c r="AP32" s="9">
        <f t="shared" si="4"/>
        <v>1.2790471054805941</v>
      </c>
      <c r="AQ32" s="9">
        <f t="shared" si="5"/>
        <v>1.1220935287241953</v>
      </c>
      <c r="AR32" s="9">
        <f t="shared" si="6"/>
        <v>1.107003204295425</v>
      </c>
      <c r="AS32" s="9">
        <f t="shared" si="7"/>
        <v>1.1002938498922341</v>
      </c>
      <c r="AT32" s="9">
        <f t="shared" si="8"/>
        <v>1.0965571291480414</v>
      </c>
      <c r="AU32" s="9">
        <f t="shared" si="1"/>
        <v>1.0999107939339876</v>
      </c>
    </row>
    <row r="33" spans="1:47" ht="15.75">
      <c r="A33" s="5">
        <f t="shared" si="17"/>
        <v>29</v>
      </c>
      <c r="B33" s="9">
        <v>2020</v>
      </c>
      <c r="C33" s="9" t="s">
        <v>4</v>
      </c>
      <c r="D33" s="9" t="s">
        <v>5</v>
      </c>
      <c r="E33" s="7" t="s">
        <v>6</v>
      </c>
      <c r="F33" s="5" t="s">
        <v>68</v>
      </c>
      <c r="G33" s="7" t="s">
        <v>8</v>
      </c>
      <c r="H33" s="7" t="s">
        <v>9</v>
      </c>
      <c r="I33" s="9" t="s">
        <v>47</v>
      </c>
      <c r="J33" s="9">
        <v>0.8</v>
      </c>
      <c r="K33" s="5">
        <v>2913</v>
      </c>
      <c r="L33" s="5">
        <v>6165</v>
      </c>
      <c r="M33" s="5">
        <f t="shared" si="10"/>
        <v>4928.7632239382237</v>
      </c>
      <c r="N33" s="5">
        <f t="shared" si="11"/>
        <v>9312.0401111567116</v>
      </c>
      <c r="O33">
        <f t="shared" si="12"/>
        <v>8450.9295913143214</v>
      </c>
      <c r="P33">
        <f t="shared" si="13"/>
        <v>3220.0000000000009</v>
      </c>
      <c r="Q33">
        <f t="shared" si="14"/>
        <v>531.67722007722</v>
      </c>
      <c r="R33">
        <f t="shared" si="15"/>
        <v>518.72601351351352</v>
      </c>
      <c r="S33">
        <f t="shared" si="16"/>
        <v>6128.0000000000082</v>
      </c>
      <c r="T33" s="5">
        <v>321294</v>
      </c>
      <c r="U33" s="5">
        <v>47021</v>
      </c>
      <c r="V33" s="5">
        <v>71932</v>
      </c>
      <c r="W33" s="9">
        <f t="shared" si="2"/>
        <v>440247</v>
      </c>
      <c r="Y33" s="2">
        <f t="shared" si="9"/>
        <v>39255.136159999995</v>
      </c>
      <c r="Z33">
        <v>254.72601351351349</v>
      </c>
      <c r="AA33">
        <v>264</v>
      </c>
      <c r="AB33">
        <v>1509.0500000000009</v>
      </c>
      <c r="AC33">
        <v>1710.95</v>
      </c>
      <c r="AD33">
        <v>236.55907335907335</v>
      </c>
      <c r="AE33">
        <v>295.1181467181467</v>
      </c>
      <c r="AF33">
        <v>2223.5877413127414</v>
      </c>
      <c r="AG33">
        <v>2705.1754826254828</v>
      </c>
      <c r="AH33">
        <v>4223.8231227397246</v>
      </c>
      <c r="AI33">
        <v>5088.216988416988</v>
      </c>
      <c r="AJ33">
        <v>2768.148956290408</v>
      </c>
      <c r="AK33">
        <v>3359.8510437096002</v>
      </c>
      <c r="AL33">
        <v>3613.9281434378731</v>
      </c>
      <c r="AM33">
        <v>4837.0014478764479</v>
      </c>
      <c r="AO33" s="9">
        <f t="shared" si="3"/>
        <v>1.0178783909904008</v>
      </c>
      <c r="AP33" s="9">
        <f t="shared" si="4"/>
        <v>1.062701863354037</v>
      </c>
      <c r="AQ33" s="9">
        <f t="shared" si="5"/>
        <v>1.110140271480069</v>
      </c>
      <c r="AR33" s="9">
        <f t="shared" si="6"/>
        <v>1.0977096523877929</v>
      </c>
      <c r="AS33" s="9">
        <f t="shared" si="7"/>
        <v>1.0928254018839156</v>
      </c>
      <c r="AT33" s="9">
        <f t="shared" si="8"/>
        <v>1.0965571291480403</v>
      </c>
      <c r="AU33" s="9">
        <f t="shared" si="1"/>
        <v>1.1447264814152069</v>
      </c>
    </row>
    <row r="34" spans="1:47" ht="15.75">
      <c r="A34" s="5">
        <f t="shared" si="17"/>
        <v>30</v>
      </c>
      <c r="B34" s="9">
        <v>2020</v>
      </c>
      <c r="C34" s="9" t="s">
        <v>4</v>
      </c>
      <c r="D34" s="9" t="s">
        <v>5</v>
      </c>
      <c r="E34" s="7" t="s">
        <v>6</v>
      </c>
      <c r="F34" s="5" t="s">
        <v>69</v>
      </c>
      <c r="G34" s="7" t="s">
        <v>8</v>
      </c>
      <c r="H34" s="7" t="s">
        <v>9</v>
      </c>
      <c r="I34" s="9" t="s">
        <v>47</v>
      </c>
      <c r="J34" s="9">
        <v>0.8</v>
      </c>
      <c r="K34" s="5">
        <v>2928</v>
      </c>
      <c r="L34" s="5">
        <v>6165</v>
      </c>
      <c r="M34" s="5">
        <f t="shared" si="10"/>
        <v>5089.2924710424713</v>
      </c>
      <c r="N34" s="5">
        <f t="shared" si="11"/>
        <v>9575.878407104241</v>
      </c>
      <c r="O34">
        <f t="shared" si="12"/>
        <v>8833.0024131274131</v>
      </c>
      <c r="P34">
        <f t="shared" si="13"/>
        <v>2324.278957528958</v>
      </c>
      <c r="Q34">
        <f t="shared" si="14"/>
        <v>551.19691119691106</v>
      </c>
      <c r="R34">
        <f t="shared" si="15"/>
        <v>528</v>
      </c>
      <c r="S34">
        <f t="shared" si="16"/>
        <v>6128.0000000000027</v>
      </c>
      <c r="T34" s="5">
        <v>327802</v>
      </c>
      <c r="U34" s="5">
        <v>47021</v>
      </c>
      <c r="V34" s="5">
        <v>71932</v>
      </c>
      <c r="W34" s="9">
        <f t="shared" si="2"/>
        <v>446755</v>
      </c>
      <c r="Y34" s="2">
        <f t="shared" si="9"/>
        <v>39194.649159999986</v>
      </c>
      <c r="Z34">
        <v>264</v>
      </c>
      <c r="AA34">
        <v>264</v>
      </c>
      <c r="AB34">
        <v>926.63561776061783</v>
      </c>
      <c r="AC34">
        <v>1397.64333976834</v>
      </c>
      <c r="AD34">
        <v>249.57220077220074</v>
      </c>
      <c r="AE34">
        <v>301.62471042471037</v>
      </c>
      <c r="AF34">
        <v>2330.6072393822396</v>
      </c>
      <c r="AG34">
        <v>2758.6852316602317</v>
      </c>
      <c r="AH34">
        <v>4389.5382526640869</v>
      </c>
      <c r="AI34">
        <v>5186.340154440154</v>
      </c>
      <c r="AJ34">
        <v>2768.1489562904039</v>
      </c>
      <c r="AK34">
        <v>3359.8510437095988</v>
      </c>
      <c r="AL34">
        <v>3855.8342181467183</v>
      </c>
      <c r="AM34">
        <v>4977.1681949806953</v>
      </c>
      <c r="AO34" s="9">
        <f t="shared" si="3"/>
        <v>1</v>
      </c>
      <c r="AP34" s="9">
        <f t="shared" si="4"/>
        <v>1.2026468124585488</v>
      </c>
      <c r="AQ34" s="9">
        <f t="shared" si="5"/>
        <v>1.0944354160829364</v>
      </c>
      <c r="AR34" s="9">
        <f t="shared" si="6"/>
        <v>1.0841134587398367</v>
      </c>
      <c r="AS34" s="9">
        <f t="shared" si="7"/>
        <v>1.0832092752122802</v>
      </c>
      <c r="AT34" s="9">
        <f t="shared" si="8"/>
        <v>1.0965571291480409</v>
      </c>
      <c r="AU34" s="9">
        <f t="shared" si="1"/>
        <v>1.1269482248943434</v>
      </c>
    </row>
    <row r="35" spans="1:47" ht="15.75">
      <c r="A35" s="5">
        <f t="shared" si="17"/>
        <v>31</v>
      </c>
      <c r="B35" s="9">
        <v>2020</v>
      </c>
      <c r="C35" s="9" t="s">
        <v>4</v>
      </c>
      <c r="D35" s="9" t="s">
        <v>5</v>
      </c>
      <c r="E35" s="7" t="s">
        <v>6</v>
      </c>
      <c r="F35" s="5" t="s">
        <v>70</v>
      </c>
      <c r="G35" s="7" t="s">
        <v>8</v>
      </c>
      <c r="H35" s="7" t="s">
        <v>9</v>
      </c>
      <c r="I35" s="9" t="s">
        <v>47</v>
      </c>
      <c r="J35" s="9">
        <v>0.8</v>
      </c>
      <c r="K35" s="5">
        <v>2893</v>
      </c>
      <c r="L35" s="5">
        <v>6165</v>
      </c>
      <c r="M35" s="5">
        <f t="shared" si="10"/>
        <v>5062.2115152123506</v>
      </c>
      <c r="N35" s="5">
        <f t="shared" si="11"/>
        <v>9489.5718146718136</v>
      </c>
      <c r="O35">
        <f t="shared" si="12"/>
        <v>8833.0024131274131</v>
      </c>
      <c r="P35">
        <f t="shared" si="13"/>
        <v>2324.278957528958</v>
      </c>
      <c r="Q35">
        <f t="shared" si="14"/>
        <v>672</v>
      </c>
      <c r="R35">
        <f t="shared" si="15"/>
        <v>520.58445945945937</v>
      </c>
      <c r="S35">
        <f t="shared" si="16"/>
        <v>6128.0000000000018</v>
      </c>
      <c r="T35" s="5">
        <v>327491</v>
      </c>
      <c r="U35" s="5">
        <v>47021</v>
      </c>
      <c r="V35" s="5">
        <v>71932</v>
      </c>
      <c r="W35" s="9">
        <f t="shared" si="2"/>
        <v>446444</v>
      </c>
      <c r="Y35" s="2">
        <f t="shared" si="9"/>
        <v>39194.649159999994</v>
      </c>
      <c r="Z35">
        <v>256.58445945945942</v>
      </c>
      <c r="AA35">
        <v>264</v>
      </c>
      <c r="AB35">
        <v>926.63561776061783</v>
      </c>
      <c r="AC35">
        <v>1397.64333976834</v>
      </c>
      <c r="AD35">
        <v>335.7</v>
      </c>
      <c r="AE35">
        <v>336.3</v>
      </c>
      <c r="AF35">
        <v>2303.5262835521189</v>
      </c>
      <c r="AG35">
        <v>2758.6852316602317</v>
      </c>
      <c r="AH35">
        <v>4303.2316602316596</v>
      </c>
      <c r="AI35">
        <v>5186.340154440154</v>
      </c>
      <c r="AJ35">
        <v>2768.1489562904067</v>
      </c>
      <c r="AK35">
        <v>3359.8510437095952</v>
      </c>
      <c r="AL35">
        <v>3855.8342181467183</v>
      </c>
      <c r="AM35">
        <v>4977.1681949806953</v>
      </c>
      <c r="AO35" s="9">
        <f t="shared" si="3"/>
        <v>1.0142446444679514</v>
      </c>
      <c r="AP35" s="9">
        <f t="shared" si="4"/>
        <v>1.2026468124585488</v>
      </c>
      <c r="AQ35" s="9">
        <f t="shared" si="5"/>
        <v>1.0008928571428573</v>
      </c>
      <c r="AR35" s="9">
        <f t="shared" si="6"/>
        <v>1.089913064031466</v>
      </c>
      <c r="AS35" s="9">
        <f t="shared" si="7"/>
        <v>1.0930609422063831</v>
      </c>
      <c r="AT35" s="9">
        <f t="shared" si="8"/>
        <v>1.0965571291480398</v>
      </c>
      <c r="AU35" s="9">
        <f t="shared" si="1"/>
        <v>1.1269482248943434</v>
      </c>
    </row>
    <row r="36" spans="1:47" ht="15.75">
      <c r="A36" s="5">
        <f t="shared" si="17"/>
        <v>32</v>
      </c>
      <c r="B36" s="9">
        <v>2020</v>
      </c>
      <c r="C36" s="9" t="s">
        <v>4</v>
      </c>
      <c r="D36" s="9" t="s">
        <v>39</v>
      </c>
      <c r="E36" s="7" t="s">
        <v>6</v>
      </c>
      <c r="F36" s="5" t="s">
        <v>48</v>
      </c>
      <c r="G36" s="7" t="s">
        <v>8</v>
      </c>
      <c r="H36" s="7" t="s">
        <v>9</v>
      </c>
      <c r="I36" s="9" t="s">
        <v>47</v>
      </c>
      <c r="J36" s="9">
        <v>0.8</v>
      </c>
      <c r="K36" s="5">
        <v>2493</v>
      </c>
      <c r="L36" s="5">
        <v>14299</v>
      </c>
      <c r="M36" s="5">
        <f t="shared" si="10"/>
        <v>6123.9999999999991</v>
      </c>
      <c r="N36" s="5">
        <f t="shared" si="11"/>
        <v>8026.0247734138966</v>
      </c>
      <c r="O36">
        <f t="shared" si="12"/>
        <v>6602.1914652567975</v>
      </c>
      <c r="P36">
        <f t="shared" si="13"/>
        <v>1387.2439577039277</v>
      </c>
      <c r="Q36">
        <f t="shared" si="14"/>
        <v>447.64229607250752</v>
      </c>
      <c r="R36">
        <f t="shared" si="15"/>
        <v>502.17545317220538</v>
      </c>
      <c r="S36">
        <f t="shared" si="16"/>
        <v>5546.6958543806668</v>
      </c>
      <c r="T36" s="5">
        <v>333161</v>
      </c>
      <c r="U36" s="5">
        <v>89448</v>
      </c>
      <c r="V36" s="5">
        <v>35475</v>
      </c>
      <c r="W36" s="9">
        <f t="shared" si="2"/>
        <v>458084</v>
      </c>
      <c r="Y36" s="2">
        <f t="shared" si="9"/>
        <v>42934.9738</v>
      </c>
      <c r="Z36">
        <v>245.27095921450149</v>
      </c>
      <c r="AA36">
        <v>256.90449395770389</v>
      </c>
      <c r="AB36">
        <v>509.34554380664656</v>
      </c>
      <c r="AC36">
        <v>877.89841389728099</v>
      </c>
      <c r="AD36">
        <v>203.4561933534743</v>
      </c>
      <c r="AE36">
        <v>244.18610271903322</v>
      </c>
      <c r="AF36">
        <v>2755.7999999999988</v>
      </c>
      <c r="AG36">
        <v>3368.2000000000003</v>
      </c>
      <c r="AH36">
        <v>3705.895770392749</v>
      </c>
      <c r="AI36">
        <v>4320.1290030211476</v>
      </c>
      <c r="AJ36">
        <v>2768.1489562904089</v>
      </c>
      <c r="AK36">
        <v>2778.5468980902579</v>
      </c>
      <c r="AL36">
        <v>2862.3865181268884</v>
      </c>
      <c r="AM36">
        <v>3739.8049471299091</v>
      </c>
      <c r="AO36" s="9">
        <f t="shared" si="3"/>
        <v>1.0231662751926927</v>
      </c>
      <c r="AP36" s="9">
        <f t="shared" si="4"/>
        <v>1.2656727160669261</v>
      </c>
      <c r="AQ36" s="9">
        <f t="shared" si="5"/>
        <v>1.0909876249919013</v>
      </c>
      <c r="AR36" s="9">
        <f t="shared" si="6"/>
        <v>1.1000000000000003</v>
      </c>
      <c r="AS36" s="9">
        <f t="shared" si="7"/>
        <v>1.076530193958912</v>
      </c>
      <c r="AT36" s="9">
        <f t="shared" si="8"/>
        <v>1.0018746190656256</v>
      </c>
      <c r="AU36" s="9">
        <f t="shared" si="1"/>
        <v>1.1328980587158559</v>
      </c>
    </row>
    <row r="37" spans="1:47" ht="15.75">
      <c r="A37" s="5">
        <f t="shared" si="17"/>
        <v>33</v>
      </c>
      <c r="B37" s="9">
        <v>2020</v>
      </c>
      <c r="C37" s="9" t="s">
        <v>4</v>
      </c>
      <c r="D37" s="9" t="s">
        <v>39</v>
      </c>
      <c r="E37" s="7" t="s">
        <v>6</v>
      </c>
      <c r="F37" s="5" t="s">
        <v>59</v>
      </c>
      <c r="G37" s="7" t="s">
        <v>8</v>
      </c>
      <c r="H37" s="7" t="s">
        <v>9</v>
      </c>
      <c r="I37" s="9" t="s">
        <v>47</v>
      </c>
      <c r="J37" s="9">
        <v>0.8</v>
      </c>
      <c r="K37" s="5">
        <v>2343</v>
      </c>
      <c r="L37" s="5">
        <v>14299</v>
      </c>
      <c r="M37" s="5">
        <f t="shared" si="10"/>
        <v>3902.7016616314195</v>
      </c>
      <c r="N37" s="5">
        <f t="shared" si="11"/>
        <v>11503.999999999985</v>
      </c>
      <c r="O37">
        <f t="shared" si="12"/>
        <v>5776.8288330385367</v>
      </c>
      <c r="P37">
        <f t="shared" si="13"/>
        <v>1018.6910876132931</v>
      </c>
      <c r="Q37">
        <f t="shared" si="14"/>
        <v>406.91238670694861</v>
      </c>
      <c r="R37">
        <f t="shared" si="15"/>
        <v>490.54191842900298</v>
      </c>
      <c r="S37">
        <f t="shared" si="16"/>
        <v>5536.2979125808133</v>
      </c>
      <c r="T37" s="5">
        <v>318911</v>
      </c>
      <c r="U37" s="5">
        <v>89448</v>
      </c>
      <c r="V37" s="5">
        <v>35475</v>
      </c>
      <c r="W37" s="9">
        <f t="shared" si="2"/>
        <v>443834</v>
      </c>
      <c r="Y37" s="2">
        <f t="shared" si="9"/>
        <v>42934.9738</v>
      </c>
      <c r="Z37">
        <v>239.45419184290029</v>
      </c>
      <c r="AA37">
        <v>251.08772658610269</v>
      </c>
      <c r="AB37">
        <v>325.06910876132929</v>
      </c>
      <c r="AC37">
        <v>693.62197885196383</v>
      </c>
      <c r="AD37">
        <v>183.09123867069485</v>
      </c>
      <c r="AE37">
        <v>223.82114803625376</v>
      </c>
      <c r="AF37">
        <v>1783.8701661631419</v>
      </c>
      <c r="AG37">
        <v>2118.8314954682778</v>
      </c>
      <c r="AH37">
        <v>5176.7999999999847</v>
      </c>
      <c r="AI37">
        <v>6327.2000000000007</v>
      </c>
      <c r="AJ37">
        <v>2768.148956290408</v>
      </c>
      <c r="AK37">
        <v>2768.1489562904053</v>
      </c>
      <c r="AL37">
        <v>2423.6773036253776</v>
      </c>
      <c r="AM37">
        <v>3353.1515294131591</v>
      </c>
      <c r="AO37" s="9">
        <f t="shared" si="3"/>
        <v>1.0237156791420796</v>
      </c>
      <c r="AP37" s="9">
        <f t="shared" si="4"/>
        <v>1.3617906100995962</v>
      </c>
      <c r="AQ37" s="9">
        <f t="shared" si="5"/>
        <v>1.100095034449988</v>
      </c>
      <c r="AR37" s="9">
        <f t="shared" si="6"/>
        <v>1.0858280643376452</v>
      </c>
      <c r="AS37" s="9">
        <f t="shared" si="7"/>
        <v>1.1000000000000014</v>
      </c>
      <c r="AT37" s="9">
        <f t="shared" si="8"/>
        <v>0.99999999999999956</v>
      </c>
      <c r="AU37" s="9">
        <f t="shared" si="1"/>
        <v>1.160896964866257</v>
      </c>
    </row>
    <row r="38" spans="1:47" ht="15.75">
      <c r="A38" s="5">
        <f t="shared" si="17"/>
        <v>34</v>
      </c>
      <c r="B38" s="9">
        <v>2020</v>
      </c>
      <c r="C38" s="9" t="s">
        <v>4</v>
      </c>
      <c r="D38" s="9" t="s">
        <v>39</v>
      </c>
      <c r="E38" s="7" t="s">
        <v>6</v>
      </c>
      <c r="F38" s="5" t="s">
        <v>60</v>
      </c>
      <c r="G38" s="7" t="s">
        <v>8</v>
      </c>
      <c r="H38" s="7" t="s">
        <v>9</v>
      </c>
      <c r="I38" s="9" t="s">
        <v>47</v>
      </c>
      <c r="J38" s="9">
        <v>0.8</v>
      </c>
      <c r="K38" s="5">
        <v>2873</v>
      </c>
      <c r="L38" s="5">
        <v>14299</v>
      </c>
      <c r="M38" s="5">
        <f t="shared" si="10"/>
        <v>3609.6104984894259</v>
      </c>
      <c r="N38" s="5">
        <f t="shared" si="11"/>
        <v>6874.3374622356496</v>
      </c>
      <c r="O38">
        <f t="shared" si="12"/>
        <v>11067.884308869336</v>
      </c>
      <c r="P38">
        <f t="shared" si="13"/>
        <v>696.20732628398787</v>
      </c>
      <c r="Q38">
        <f t="shared" si="14"/>
        <v>371.27371601208461</v>
      </c>
      <c r="R38">
        <f t="shared" si="15"/>
        <v>480.36257552870086</v>
      </c>
      <c r="S38">
        <f t="shared" si="16"/>
        <v>5536.2979125808142</v>
      </c>
      <c r="T38" s="5">
        <v>321101</v>
      </c>
      <c r="U38" s="5">
        <v>89447</v>
      </c>
      <c r="V38" s="5">
        <v>35475</v>
      </c>
      <c r="W38" s="9">
        <f t="shared" si="2"/>
        <v>446023</v>
      </c>
      <c r="Y38" s="2">
        <f t="shared" si="9"/>
        <v>42934.973799999992</v>
      </c>
      <c r="Z38">
        <v>238</v>
      </c>
      <c r="AA38">
        <v>242.36257552870089</v>
      </c>
      <c r="AB38">
        <v>279</v>
      </c>
      <c r="AC38">
        <v>417.20732628398792</v>
      </c>
      <c r="AD38">
        <v>178</v>
      </c>
      <c r="AE38">
        <v>193.27371601208458</v>
      </c>
      <c r="AF38">
        <v>1742</v>
      </c>
      <c r="AG38">
        <v>1867.6104984894259</v>
      </c>
      <c r="AH38">
        <v>3322</v>
      </c>
      <c r="AI38">
        <v>3552.3374622356496</v>
      </c>
      <c r="AJ38">
        <v>2768.1489562904067</v>
      </c>
      <c r="AK38">
        <v>2768.1489562904076</v>
      </c>
      <c r="AL38">
        <v>4902.8843088693366</v>
      </c>
      <c r="AM38">
        <v>6165</v>
      </c>
      <c r="AO38" s="9">
        <f t="shared" si="3"/>
        <v>1.0090818389086604</v>
      </c>
      <c r="AP38" s="9">
        <f t="shared" si="4"/>
        <v>1.1985146106141553</v>
      </c>
      <c r="AQ38" s="9">
        <f t="shared" si="5"/>
        <v>1.0411386945893779</v>
      </c>
      <c r="AR38" s="9">
        <f t="shared" si="6"/>
        <v>1.0347989065695571</v>
      </c>
      <c r="AS38" s="9">
        <f t="shared" si="7"/>
        <v>1.0335068598975559</v>
      </c>
      <c r="AT38" s="9">
        <f t="shared" si="8"/>
        <v>1.0000000000000002</v>
      </c>
      <c r="AU38" s="9">
        <f t="shared" si="1"/>
        <v>1.1140340516677842</v>
      </c>
    </row>
    <row r="39" spans="1:47" ht="15.75">
      <c r="A39" s="5">
        <f t="shared" si="17"/>
        <v>35</v>
      </c>
      <c r="B39" s="9">
        <v>2020</v>
      </c>
      <c r="C39" s="9" t="s">
        <v>4</v>
      </c>
      <c r="D39" s="9" t="s">
        <v>39</v>
      </c>
      <c r="E39" s="7" t="s">
        <v>6</v>
      </c>
      <c r="F39" s="5" t="s">
        <v>68</v>
      </c>
      <c r="G39" s="7" t="s">
        <v>8</v>
      </c>
      <c r="H39" s="7" t="s">
        <v>9</v>
      </c>
      <c r="I39" s="9" t="s">
        <v>47</v>
      </c>
      <c r="J39" s="9">
        <v>0.8</v>
      </c>
      <c r="K39" s="5">
        <v>2688</v>
      </c>
      <c r="L39" s="5">
        <v>14299</v>
      </c>
      <c r="M39" s="5">
        <f t="shared" si="10"/>
        <v>4237.6629909365556</v>
      </c>
      <c r="N39" s="5">
        <f t="shared" si="11"/>
        <v>8026.0247734138966</v>
      </c>
      <c r="O39">
        <f t="shared" si="12"/>
        <v>6602.1914652567975</v>
      </c>
      <c r="P39">
        <f t="shared" si="13"/>
        <v>3219.9999999999973</v>
      </c>
      <c r="Q39">
        <f t="shared" si="14"/>
        <v>447.64229607250752</v>
      </c>
      <c r="R39">
        <f t="shared" si="15"/>
        <v>502.17545317220538</v>
      </c>
      <c r="S39">
        <f t="shared" si="16"/>
        <v>5590.3068066980468</v>
      </c>
      <c r="T39" s="5">
        <v>340895</v>
      </c>
      <c r="U39" s="5">
        <v>89448</v>
      </c>
      <c r="V39" s="5">
        <v>35475</v>
      </c>
      <c r="W39" s="9">
        <f t="shared" si="2"/>
        <v>465818</v>
      </c>
      <c r="Y39" s="2">
        <f t="shared" si="9"/>
        <v>42925.003785550012</v>
      </c>
      <c r="Z39">
        <v>245.27095921450149</v>
      </c>
      <c r="AA39">
        <v>256.90449395770389</v>
      </c>
      <c r="AB39">
        <v>1509.049999999997</v>
      </c>
      <c r="AC39">
        <v>1710.95</v>
      </c>
      <c r="AD39">
        <v>203.4561933534743</v>
      </c>
      <c r="AE39">
        <v>244.18610271903322</v>
      </c>
      <c r="AF39">
        <v>1951.35083081571</v>
      </c>
      <c r="AG39">
        <v>2286.3121601208459</v>
      </c>
      <c r="AH39">
        <v>3705.895770392749</v>
      </c>
      <c r="AI39">
        <v>4320.1290030211476</v>
      </c>
      <c r="AJ39">
        <v>2768.1489562904085</v>
      </c>
      <c r="AK39">
        <v>2822.1578504076379</v>
      </c>
      <c r="AL39">
        <v>2862.3865181268884</v>
      </c>
      <c r="AM39">
        <v>3739.8049471299091</v>
      </c>
      <c r="AO39" s="9">
        <f t="shared" si="3"/>
        <v>1.0231662751926927</v>
      </c>
      <c r="AP39" s="9">
        <f t="shared" si="4"/>
        <v>1.0627018633540382</v>
      </c>
      <c r="AQ39" s="9">
        <f t="shared" si="5"/>
        <v>1.0909876249919013</v>
      </c>
      <c r="AR39" s="9">
        <f t="shared" si="6"/>
        <v>1.0790438810310179</v>
      </c>
      <c r="AS39" s="9">
        <f t="shared" si="7"/>
        <v>1.076530193958912</v>
      </c>
      <c r="AT39" s="9">
        <f t="shared" si="8"/>
        <v>1.0096611681585199</v>
      </c>
      <c r="AU39" s="9">
        <f t="shared" si="1"/>
        <v>1.1328980587158559</v>
      </c>
    </row>
    <row r="40" spans="1:47" ht="15.75">
      <c r="A40" s="5">
        <f t="shared" si="17"/>
        <v>36</v>
      </c>
      <c r="B40" s="9">
        <v>2020</v>
      </c>
      <c r="C40" s="9" t="s">
        <v>4</v>
      </c>
      <c r="D40" s="9" t="s">
        <v>39</v>
      </c>
      <c r="E40" s="7" t="s">
        <v>6</v>
      </c>
      <c r="F40" s="5" t="s">
        <v>69</v>
      </c>
      <c r="G40" s="7" t="s">
        <v>8</v>
      </c>
      <c r="H40" s="7" t="s">
        <v>9</v>
      </c>
      <c r="I40" s="9" t="s">
        <v>47</v>
      </c>
      <c r="J40" s="9">
        <v>0.8</v>
      </c>
      <c r="K40" s="5">
        <v>2266</v>
      </c>
      <c r="L40" s="5">
        <v>14299</v>
      </c>
      <c r="M40" s="5">
        <f t="shared" si="10"/>
        <v>4405.1436555891241</v>
      </c>
      <c r="N40" s="5">
        <f t="shared" si="11"/>
        <v>8333.1413897280963</v>
      </c>
      <c r="O40">
        <f t="shared" si="12"/>
        <v>7095.6050024169199</v>
      </c>
      <c r="P40">
        <f t="shared" si="13"/>
        <v>1617.5895015105741</v>
      </c>
      <c r="Q40">
        <f t="shared" si="14"/>
        <v>468.00725075528698</v>
      </c>
      <c r="R40">
        <f t="shared" si="15"/>
        <v>528</v>
      </c>
      <c r="S40">
        <f t="shared" si="16"/>
        <v>6128</v>
      </c>
      <c r="T40" s="5">
        <v>339329</v>
      </c>
      <c r="U40" s="5">
        <v>89448</v>
      </c>
      <c r="V40" s="5">
        <v>35475</v>
      </c>
      <c r="W40" s="9">
        <f t="shared" si="2"/>
        <v>464252</v>
      </c>
      <c r="Y40" s="2">
        <f t="shared" si="9"/>
        <v>42874.486799999999</v>
      </c>
      <c r="Z40">
        <v>264</v>
      </c>
      <c r="AA40">
        <v>264</v>
      </c>
      <c r="AB40">
        <v>601.48376132930514</v>
      </c>
      <c r="AC40">
        <v>1016.105740181269</v>
      </c>
      <c r="AD40">
        <v>213.63867069486403</v>
      </c>
      <c r="AE40">
        <v>254.36858006042294</v>
      </c>
      <c r="AF40">
        <v>2035.091163141994</v>
      </c>
      <c r="AG40">
        <v>2370.0524924471301</v>
      </c>
      <c r="AH40">
        <v>3859.4540785498489</v>
      </c>
      <c r="AI40">
        <v>4473.687311178247</v>
      </c>
      <c r="AJ40">
        <v>2768.1489562904071</v>
      </c>
      <c r="AK40">
        <v>3359.8510437095929</v>
      </c>
      <c r="AL40">
        <v>3081.7411253776436</v>
      </c>
      <c r="AM40">
        <v>4013.8638770392768</v>
      </c>
      <c r="AO40" s="9">
        <f t="shared" si="3"/>
        <v>1</v>
      </c>
      <c r="AP40" s="9">
        <f t="shared" si="4"/>
        <v>1.2563208888687594</v>
      </c>
      <c r="AQ40" s="9">
        <f t="shared" si="5"/>
        <v>1.0870283725301852</v>
      </c>
      <c r="AR40" s="9">
        <f t="shared" si="6"/>
        <v>1.0760386846590455</v>
      </c>
      <c r="AS40" s="9">
        <f t="shared" si="7"/>
        <v>1.0737096856877451</v>
      </c>
      <c r="AT40" s="9">
        <f t="shared" si="8"/>
        <v>1.0965571291480394</v>
      </c>
      <c r="AU40" s="9">
        <f t="shared" si="1"/>
        <v>1.1313662120910242</v>
      </c>
    </row>
    <row r="41" spans="1:47" ht="15.75">
      <c r="A41" s="5">
        <f t="shared" si="17"/>
        <v>37</v>
      </c>
      <c r="B41" s="9">
        <v>2020</v>
      </c>
      <c r="C41" s="9" t="s">
        <v>4</v>
      </c>
      <c r="D41" s="9" t="s">
        <v>39</v>
      </c>
      <c r="E41" s="7" t="s">
        <v>6</v>
      </c>
      <c r="F41" s="5" t="s">
        <v>70</v>
      </c>
      <c r="G41" s="7" t="s">
        <v>8</v>
      </c>
      <c r="H41" s="7" t="s">
        <v>9</v>
      </c>
      <c r="I41" s="9" t="s">
        <v>47</v>
      </c>
      <c r="J41" s="9">
        <v>0.8</v>
      </c>
      <c r="K41" s="5">
        <v>2290</v>
      </c>
      <c r="L41" s="5">
        <v>14299</v>
      </c>
      <c r="M41" s="5">
        <f t="shared" si="10"/>
        <v>4400.1654631419915</v>
      </c>
      <c r="N41" s="5">
        <f t="shared" si="11"/>
        <v>8256.3622356495453</v>
      </c>
      <c r="O41">
        <f t="shared" si="12"/>
        <v>7040.9006797583079</v>
      </c>
      <c r="P41">
        <f t="shared" si="13"/>
        <v>1571.5203927492448</v>
      </c>
      <c r="Q41">
        <f t="shared" si="14"/>
        <v>672.00000000000068</v>
      </c>
      <c r="R41">
        <f t="shared" si="15"/>
        <v>506.53802870090635</v>
      </c>
      <c r="S41">
        <f t="shared" si="16"/>
        <v>6128.0000000000018</v>
      </c>
      <c r="T41" s="5">
        <v>339005</v>
      </c>
      <c r="U41" s="5">
        <v>89447</v>
      </c>
      <c r="V41" s="5">
        <v>35475</v>
      </c>
      <c r="W41" s="9">
        <f t="shared" si="2"/>
        <v>463927</v>
      </c>
      <c r="Y41" s="2">
        <f t="shared" si="9"/>
        <v>42874.486799999991</v>
      </c>
      <c r="Z41">
        <v>246.7251510574018</v>
      </c>
      <c r="AA41">
        <v>259.81287764350452</v>
      </c>
      <c r="AB41">
        <v>601.48376132930514</v>
      </c>
      <c r="AC41">
        <v>970.03663141993968</v>
      </c>
      <c r="AD41">
        <v>335.70000000000067</v>
      </c>
      <c r="AE41">
        <v>336.3</v>
      </c>
      <c r="AF41">
        <v>2030.1129706948616</v>
      </c>
      <c r="AG41">
        <v>2370.0524924471301</v>
      </c>
      <c r="AH41">
        <v>3782.6749244712987</v>
      </c>
      <c r="AI41">
        <v>4473.687311178247</v>
      </c>
      <c r="AJ41">
        <v>2768.1489562904085</v>
      </c>
      <c r="AK41">
        <v>3359.8510437095933</v>
      </c>
      <c r="AL41">
        <v>3081.7411253776436</v>
      </c>
      <c r="AM41">
        <v>3959.1595543806648</v>
      </c>
      <c r="AO41" s="9">
        <f t="shared" si="3"/>
        <v>1.0258375992413997</v>
      </c>
      <c r="AP41" s="9">
        <f t="shared" si="4"/>
        <v>1.2345199411926699</v>
      </c>
      <c r="AQ41" s="9">
        <f t="shared" si="5"/>
        <v>1.0008928571428561</v>
      </c>
      <c r="AR41" s="9">
        <f t="shared" si="6"/>
        <v>1.0772560769815984</v>
      </c>
      <c r="AS41" s="9">
        <f t="shared" si="7"/>
        <v>1.0836945336195736</v>
      </c>
      <c r="AT41" s="9">
        <f t="shared" si="8"/>
        <v>1.0965571291480394</v>
      </c>
      <c r="AU41" s="9">
        <f t="shared" si="1"/>
        <v>1.1246173563455437</v>
      </c>
    </row>
    <row r="45" spans="1:47">
      <c r="C45" t="s">
        <v>71</v>
      </c>
    </row>
    <row r="47" spans="1:47">
      <c r="C47" t="s">
        <v>5</v>
      </c>
    </row>
    <row r="48" spans="1:47">
      <c r="K48" t="s">
        <v>2</v>
      </c>
      <c r="L48" t="s">
        <v>3</v>
      </c>
      <c r="M48" t="s">
        <v>12</v>
      </c>
      <c r="N48" t="s">
        <v>13</v>
      </c>
      <c r="O48" t="s">
        <v>14</v>
      </c>
      <c r="P48" t="s">
        <v>15</v>
      </c>
      <c r="Q48" t="s">
        <v>16</v>
      </c>
      <c r="R48" t="s">
        <v>17</v>
      </c>
      <c r="S48" t="s">
        <v>18</v>
      </c>
      <c r="T48" t="s">
        <v>20</v>
      </c>
      <c r="U48" t="s">
        <v>21</v>
      </c>
      <c r="V48" t="s">
        <v>22</v>
      </c>
      <c r="W48" t="s">
        <v>46</v>
      </c>
      <c r="Z48" t="s">
        <v>49</v>
      </c>
      <c r="AA48" t="s">
        <v>50</v>
      </c>
      <c r="AB48" t="s">
        <v>51</v>
      </c>
      <c r="AC48" t="s">
        <v>52</v>
      </c>
      <c r="AD48" t="s">
        <v>53</v>
      </c>
      <c r="AE48" t="s">
        <v>54</v>
      </c>
      <c r="AF48" t="s">
        <v>55</v>
      </c>
      <c r="AG48" t="s">
        <v>56</v>
      </c>
      <c r="AH48" t="s">
        <v>57</v>
      </c>
      <c r="AI48" t="s">
        <v>58</v>
      </c>
      <c r="AJ48" t="s">
        <v>62</v>
      </c>
      <c r="AK48" t="s">
        <v>63</v>
      </c>
      <c r="AL48" t="s">
        <v>66</v>
      </c>
      <c r="AM48" t="s">
        <v>67</v>
      </c>
      <c r="AO48" t="s">
        <v>17</v>
      </c>
      <c r="AP48" t="s">
        <v>15</v>
      </c>
      <c r="AQ48" t="s">
        <v>16</v>
      </c>
      <c r="AR48" t="s">
        <v>12</v>
      </c>
      <c r="AS48" t="s">
        <v>13</v>
      </c>
      <c r="AT48" t="s">
        <v>18</v>
      </c>
      <c r="AU48" t="s">
        <v>14</v>
      </c>
    </row>
    <row r="49" spans="1:47" ht="15.75">
      <c r="A49" s="5">
        <v>10</v>
      </c>
      <c r="B49" s="9">
        <v>2020</v>
      </c>
      <c r="C49" s="9" t="s">
        <v>4</v>
      </c>
      <c r="D49" s="9" t="s">
        <v>39</v>
      </c>
      <c r="E49" s="7" t="s">
        <v>6</v>
      </c>
      <c r="F49" s="7" t="s">
        <v>7</v>
      </c>
      <c r="G49" s="7" t="s">
        <v>8</v>
      </c>
      <c r="H49" s="7" t="s">
        <v>9</v>
      </c>
      <c r="I49" s="9" t="s">
        <v>45</v>
      </c>
      <c r="J49" s="9">
        <v>0.8</v>
      </c>
      <c r="K49" s="5">
        <v>2812</v>
      </c>
      <c r="L49" s="5">
        <v>14229</v>
      </c>
      <c r="M49" s="5">
        <v>4405.1436555891232</v>
      </c>
      <c r="N49" s="5">
        <v>8333.1413897280963</v>
      </c>
      <c r="O49">
        <v>7115.6127818731075</v>
      </c>
      <c r="P49">
        <v>1617.5895015105741</v>
      </c>
      <c r="Q49">
        <v>468.00725075528698</v>
      </c>
      <c r="R49">
        <v>507.99222054380658</v>
      </c>
      <c r="S49">
        <v>6128.0000000000073</v>
      </c>
      <c r="T49" s="5">
        <v>340467</v>
      </c>
      <c r="U49" s="5">
        <v>89447</v>
      </c>
      <c r="V49" s="5">
        <v>35475</v>
      </c>
      <c r="W49" s="9">
        <v>465389</v>
      </c>
      <c r="Y49" s="2">
        <v>42804.486800000006</v>
      </c>
      <c r="Z49">
        <v>251.08772658610269</v>
      </c>
      <c r="AA49">
        <v>256.90449395770389</v>
      </c>
      <c r="AB49">
        <v>693.62197885196383</v>
      </c>
      <c r="AC49">
        <v>923.96752265861028</v>
      </c>
      <c r="AD49">
        <v>223.82114803625376</v>
      </c>
      <c r="AE49">
        <v>244.18610271903322</v>
      </c>
      <c r="AF49">
        <v>2118.8314954682778</v>
      </c>
      <c r="AG49">
        <v>2286.3121601208459</v>
      </c>
      <c r="AH49">
        <v>4013.0123867069483</v>
      </c>
      <c r="AI49">
        <v>4320.1290030211476</v>
      </c>
      <c r="AJ49">
        <v>2768.1489562904062</v>
      </c>
      <c r="AK49">
        <v>3359.8510437096015</v>
      </c>
      <c r="AL49">
        <v>3301.0957326283988</v>
      </c>
      <c r="AM49">
        <v>3814.5170492447082</v>
      </c>
      <c r="AO49" s="9">
        <v>1.0114505048234288</v>
      </c>
      <c r="AP49" s="9">
        <v>1.1424004938159773</v>
      </c>
      <c r="AQ49" s="9">
        <v>1.0435141862650925</v>
      </c>
      <c r="AR49" s="9">
        <v>1.0380193423295228</v>
      </c>
      <c r="AS49" s="9">
        <v>1.0368548428438726</v>
      </c>
      <c r="AT49" s="9">
        <v>1.0965571291480409</v>
      </c>
      <c r="AU49" s="9">
        <v>1.0721541956195593</v>
      </c>
    </row>
    <row r="50" spans="1:47" ht="15.75">
      <c r="A50" s="5"/>
      <c r="B50" s="9">
        <v>2020</v>
      </c>
      <c r="C50" s="9" t="s">
        <v>4</v>
      </c>
      <c r="D50" s="9" t="s">
        <v>39</v>
      </c>
      <c r="E50" s="7" t="s">
        <v>6</v>
      </c>
      <c r="F50" s="5" t="s">
        <v>48</v>
      </c>
      <c r="G50" s="7" t="s">
        <v>8</v>
      </c>
      <c r="H50" s="7" t="s">
        <v>9</v>
      </c>
      <c r="I50" s="9" t="s">
        <v>45</v>
      </c>
      <c r="J50" s="9">
        <v>0.8</v>
      </c>
      <c r="K50" s="5">
        <v>2972</v>
      </c>
      <c r="L50" s="5">
        <v>14299</v>
      </c>
      <c r="M50" s="5">
        <v>6124.0000000000055</v>
      </c>
      <c r="N50" s="5">
        <v>8026.0247734138975</v>
      </c>
      <c r="O50">
        <v>6602.1914652567975</v>
      </c>
      <c r="P50">
        <v>1397.6418995037734</v>
      </c>
      <c r="Q50">
        <v>447.64229607250752</v>
      </c>
      <c r="R50">
        <v>502.17545317220538</v>
      </c>
      <c r="S50">
        <v>5536.2979125808151</v>
      </c>
      <c r="T50" s="5">
        <v>332973</v>
      </c>
      <c r="U50" s="5">
        <v>89477</v>
      </c>
      <c r="V50" s="5">
        <v>35475</v>
      </c>
      <c r="W50" s="9">
        <v>457925</v>
      </c>
      <c r="Y50" s="2">
        <v>42934.973800000007</v>
      </c>
      <c r="Z50">
        <v>248.17934290030209</v>
      </c>
      <c r="AA50">
        <v>253.99611027190329</v>
      </c>
      <c r="AB50">
        <v>601.48376132930514</v>
      </c>
      <c r="AC50">
        <v>796.15813817446815</v>
      </c>
      <c r="AD50">
        <v>213.63867069486403</v>
      </c>
      <c r="AE50">
        <v>234.00362537764349</v>
      </c>
      <c r="AF50">
        <v>2755.8000000000056</v>
      </c>
      <c r="AG50">
        <v>3368.2000000000003</v>
      </c>
      <c r="AH50">
        <v>3859.4540785498489</v>
      </c>
      <c r="AI50">
        <v>4166.5706948640482</v>
      </c>
      <c r="AJ50">
        <v>2768.1489562904089</v>
      </c>
      <c r="AK50">
        <v>2768.1489562904062</v>
      </c>
      <c r="AL50">
        <v>3081.7411253776436</v>
      </c>
      <c r="AM50">
        <v>3520.4503398791539</v>
      </c>
      <c r="AO50" s="9">
        <v>1.0115831375963462</v>
      </c>
      <c r="AP50" s="9">
        <v>1.139287736661502</v>
      </c>
      <c r="AQ50" s="9">
        <v>1.0454938124959505</v>
      </c>
      <c r="AR50" s="9">
        <v>1.0999999999999992</v>
      </c>
      <c r="AS50" s="9">
        <v>1.038265096979456</v>
      </c>
      <c r="AT50" s="9">
        <v>0.99999999999999956</v>
      </c>
      <c r="AU50" s="9">
        <v>1.0664490293579281</v>
      </c>
    </row>
    <row r="51" spans="1:47" ht="15.75">
      <c r="A51" s="5"/>
      <c r="B51" s="9">
        <v>2020</v>
      </c>
      <c r="C51" s="9" t="s">
        <v>4</v>
      </c>
      <c r="D51" s="9" t="s">
        <v>39</v>
      </c>
      <c r="E51" s="7" t="s">
        <v>6</v>
      </c>
      <c r="F51" s="5" t="s">
        <v>59</v>
      </c>
      <c r="G51" s="7" t="s">
        <v>8</v>
      </c>
      <c r="H51" s="7" t="s">
        <v>9</v>
      </c>
      <c r="I51" s="9" t="s">
        <v>45</v>
      </c>
      <c r="J51" s="9">
        <v>0.8</v>
      </c>
      <c r="K51" s="5">
        <v>2751</v>
      </c>
      <c r="L51" s="5">
        <v>14299</v>
      </c>
      <c r="M51" s="5">
        <v>3902.7016616314199</v>
      </c>
      <c r="N51" s="5">
        <v>11503.999999999967</v>
      </c>
      <c r="O51">
        <v>5730.7597242772244</v>
      </c>
      <c r="P51">
        <v>1064.7601963746224</v>
      </c>
      <c r="Q51">
        <v>406.91238670694861</v>
      </c>
      <c r="R51">
        <v>490.54191842900298</v>
      </c>
      <c r="S51">
        <v>5536.297912580816</v>
      </c>
      <c r="T51" s="5">
        <v>318592</v>
      </c>
      <c r="U51" s="5">
        <v>89447</v>
      </c>
      <c r="V51" s="5">
        <v>35475</v>
      </c>
      <c r="W51" s="9">
        <v>443514</v>
      </c>
      <c r="Y51" s="2">
        <v>42934.973799999992</v>
      </c>
      <c r="Z51">
        <v>242.36257552870089</v>
      </c>
      <c r="AA51">
        <v>248.17934290030209</v>
      </c>
      <c r="AB51">
        <v>417.20732628398792</v>
      </c>
      <c r="AC51">
        <v>647.55287009063443</v>
      </c>
      <c r="AD51">
        <v>193.27371601208458</v>
      </c>
      <c r="AE51">
        <v>213.63867069486403</v>
      </c>
      <c r="AF51">
        <v>1867.6104984894259</v>
      </c>
      <c r="AG51">
        <v>2035.091163141994</v>
      </c>
      <c r="AH51">
        <v>5176.7999999999674</v>
      </c>
      <c r="AI51">
        <v>6327.2000000000007</v>
      </c>
      <c r="AJ51">
        <v>2768.1489562904085</v>
      </c>
      <c r="AK51">
        <v>2768.1489562904071</v>
      </c>
      <c r="AL51">
        <v>2643.0319108761328</v>
      </c>
      <c r="AM51">
        <v>3087.7278134010917</v>
      </c>
      <c r="AO51" s="9">
        <v>1.0118578395710398</v>
      </c>
      <c r="AP51" s="9">
        <v>1.2163356073892926</v>
      </c>
      <c r="AQ51" s="9">
        <v>1.0500475172249941</v>
      </c>
      <c r="AR51" s="9">
        <v>1.0429140321688226</v>
      </c>
      <c r="AS51" s="9">
        <v>1.1000000000000032</v>
      </c>
      <c r="AT51" s="9">
        <v>0.99999999999999967</v>
      </c>
      <c r="AU51" s="9">
        <v>1.0775980714461109</v>
      </c>
    </row>
    <row r="52" spans="1:47" ht="15.75">
      <c r="A52" s="5"/>
      <c r="B52" s="9">
        <v>2020</v>
      </c>
      <c r="C52" s="9" t="s">
        <v>4</v>
      </c>
      <c r="D52" s="9" t="s">
        <v>39</v>
      </c>
      <c r="E52" s="7" t="s">
        <v>6</v>
      </c>
      <c r="F52" s="5" t="s">
        <v>60</v>
      </c>
      <c r="G52" s="7" t="s">
        <v>8</v>
      </c>
      <c r="H52" s="7" t="s">
        <v>9</v>
      </c>
      <c r="I52" s="9" t="s">
        <v>45</v>
      </c>
      <c r="J52" s="9">
        <v>0.8</v>
      </c>
      <c r="K52" s="5">
        <v>3015</v>
      </c>
      <c r="L52" s="5">
        <v>14299</v>
      </c>
      <c r="M52" s="5">
        <v>3567.7403323262843</v>
      </c>
      <c r="N52" s="5">
        <v>6797.5583081570994</v>
      </c>
      <c r="O52">
        <v>11209.999999999982</v>
      </c>
      <c r="P52">
        <v>679.28638590862693</v>
      </c>
      <c r="Q52">
        <v>366.1824773413897</v>
      </c>
      <c r="R52">
        <v>478.90838368580057</v>
      </c>
      <c r="S52">
        <v>5536.2979125808197</v>
      </c>
      <c r="T52" s="5">
        <v>320978</v>
      </c>
      <c r="U52" s="5">
        <v>89448</v>
      </c>
      <c r="V52" s="5">
        <v>35475</v>
      </c>
      <c r="W52" s="9">
        <v>445901</v>
      </c>
      <c r="Y52" s="2">
        <v>42934.9738</v>
      </c>
      <c r="Z52">
        <v>238</v>
      </c>
      <c r="AA52">
        <v>240.9083836858006</v>
      </c>
      <c r="AB52">
        <v>279</v>
      </c>
      <c r="AC52">
        <v>400.28638590862687</v>
      </c>
      <c r="AD52">
        <v>178</v>
      </c>
      <c r="AE52">
        <v>188.18247734138973</v>
      </c>
      <c r="AF52">
        <v>1742</v>
      </c>
      <c r="AG52">
        <v>1825.740332326284</v>
      </c>
      <c r="AH52">
        <v>3322</v>
      </c>
      <c r="AI52">
        <v>3475.5583081570994</v>
      </c>
      <c r="AJ52">
        <v>2768.1489562904062</v>
      </c>
      <c r="AK52">
        <v>2768.148956290413</v>
      </c>
      <c r="AL52">
        <v>5044.9999999999827</v>
      </c>
      <c r="AM52">
        <v>6165</v>
      </c>
      <c r="AO52" s="9">
        <v>1.0060729437714515</v>
      </c>
      <c r="AP52" s="9">
        <v>1.1785497080828313</v>
      </c>
      <c r="AQ52" s="9">
        <v>1.0278071124957098</v>
      </c>
      <c r="AR52" s="9">
        <v>1.0234715322658257</v>
      </c>
      <c r="AS52" s="9">
        <v>1.0225902156621192</v>
      </c>
      <c r="AT52" s="9">
        <v>1.0000000000000011</v>
      </c>
      <c r="AU52" s="9">
        <v>1.0999107939339894</v>
      </c>
    </row>
    <row r="53" spans="1:47" ht="15.75">
      <c r="A53" s="5"/>
      <c r="B53" s="9">
        <v>2020</v>
      </c>
      <c r="C53" s="9" t="s">
        <v>4</v>
      </c>
      <c r="D53" s="9" t="s">
        <v>39</v>
      </c>
      <c r="E53" s="7" t="s">
        <v>6</v>
      </c>
      <c r="F53" s="5" t="s">
        <v>68</v>
      </c>
      <c r="G53" s="7" t="s">
        <v>8</v>
      </c>
      <c r="H53" s="7" t="s">
        <v>9</v>
      </c>
      <c r="I53" s="9" t="s">
        <v>45</v>
      </c>
      <c r="J53" s="9">
        <v>0.8</v>
      </c>
      <c r="K53" s="5">
        <v>3158</v>
      </c>
      <c r="L53" s="5">
        <v>14299</v>
      </c>
      <c r="M53" s="5">
        <v>4237.6629909365565</v>
      </c>
      <c r="N53" s="5">
        <v>8026.0247734138975</v>
      </c>
      <c r="O53">
        <v>6666.1703738240267</v>
      </c>
      <c r="P53">
        <v>3219.9999999999964</v>
      </c>
      <c r="Q53">
        <v>447.64229607250752</v>
      </c>
      <c r="R53">
        <v>502.17545317220538</v>
      </c>
      <c r="S53">
        <v>5536.2979125808179</v>
      </c>
      <c r="T53" s="5">
        <v>341426</v>
      </c>
      <c r="U53" s="5">
        <v>89448</v>
      </c>
      <c r="V53" s="5">
        <v>35475</v>
      </c>
      <c r="W53" s="9">
        <v>466349</v>
      </c>
      <c r="Y53" s="2">
        <v>42934.973800000007</v>
      </c>
      <c r="Z53">
        <v>248.17934290030209</v>
      </c>
      <c r="AA53">
        <v>253.99611027190329</v>
      </c>
      <c r="AB53">
        <v>1509.0499999999961</v>
      </c>
      <c r="AC53">
        <v>1710.95</v>
      </c>
      <c r="AD53">
        <v>213.63867069486403</v>
      </c>
      <c r="AE53">
        <v>234.00362537764349</v>
      </c>
      <c r="AF53">
        <v>2035.091163141994</v>
      </c>
      <c r="AG53">
        <v>2202.5718277945621</v>
      </c>
      <c r="AH53">
        <v>3859.4540785498489</v>
      </c>
      <c r="AI53">
        <v>4166.5706948640482</v>
      </c>
      <c r="AJ53">
        <v>2768.148956290408</v>
      </c>
      <c r="AK53">
        <v>2768.1489562904098</v>
      </c>
      <c r="AL53">
        <v>3081.7411253776436</v>
      </c>
      <c r="AM53">
        <v>3584.4292484463831</v>
      </c>
      <c r="AO53" s="9">
        <v>1.0115831375963462</v>
      </c>
      <c r="AP53" s="9">
        <v>1.0627018633540386</v>
      </c>
      <c r="AQ53" s="9">
        <v>1.0454938124959505</v>
      </c>
      <c r="AR53" s="9">
        <v>1.0395219405155087</v>
      </c>
      <c r="AS53" s="9">
        <v>1.038265096979456</v>
      </c>
      <c r="AT53" s="9">
        <v>1.0000000000000002</v>
      </c>
      <c r="AU53" s="9">
        <v>1.0754088321898641</v>
      </c>
    </row>
    <row r="54" spans="1:47" ht="15.75">
      <c r="A54" s="5"/>
      <c r="B54" s="9">
        <v>2020</v>
      </c>
      <c r="C54" s="9" t="s">
        <v>4</v>
      </c>
      <c r="D54" s="9" t="s">
        <v>39</v>
      </c>
      <c r="E54" s="7" t="s">
        <v>6</v>
      </c>
      <c r="F54" s="5" t="s">
        <v>69</v>
      </c>
      <c r="G54" s="7" t="s">
        <v>8</v>
      </c>
      <c r="H54" s="7" t="s">
        <v>9</v>
      </c>
      <c r="I54" s="9" t="s">
        <v>45</v>
      </c>
      <c r="J54" s="9">
        <v>0.8</v>
      </c>
      <c r="K54" s="5">
        <v>2825</v>
      </c>
      <c r="L54" s="5">
        <v>14299</v>
      </c>
      <c r="M54" s="5">
        <v>4405.1436555891232</v>
      </c>
      <c r="N54" s="5">
        <v>8333.1413897280963</v>
      </c>
      <c r="O54">
        <v>7095.6050024169135</v>
      </c>
      <c r="P54">
        <v>1617.5895015105741</v>
      </c>
      <c r="Q54">
        <v>468.00725075528698</v>
      </c>
      <c r="R54">
        <v>528</v>
      </c>
      <c r="S54">
        <v>6128.0000000000073</v>
      </c>
      <c r="T54" s="5">
        <v>338884</v>
      </c>
      <c r="U54" s="5">
        <v>89447</v>
      </c>
      <c r="V54" s="5">
        <v>35475</v>
      </c>
      <c r="W54" s="9">
        <v>463806</v>
      </c>
      <c r="Y54" s="2">
        <v>42874.486800000006</v>
      </c>
      <c r="Z54">
        <v>264</v>
      </c>
      <c r="AA54">
        <v>264</v>
      </c>
      <c r="AB54">
        <v>693.62197885196383</v>
      </c>
      <c r="AC54">
        <v>923.96752265861028</v>
      </c>
      <c r="AD54">
        <v>223.82114803625376</v>
      </c>
      <c r="AE54">
        <v>244.18610271903322</v>
      </c>
      <c r="AF54">
        <v>2118.8314954682778</v>
      </c>
      <c r="AG54">
        <v>2286.3121601208459</v>
      </c>
      <c r="AH54">
        <v>4013.0123867069483</v>
      </c>
      <c r="AI54">
        <v>4320.1290030211476</v>
      </c>
      <c r="AJ54">
        <v>2768.1489562904062</v>
      </c>
      <c r="AK54">
        <v>3359.8510437096011</v>
      </c>
      <c r="AL54">
        <v>3301.0957326283988</v>
      </c>
      <c r="AM54">
        <v>3794.5092697885148</v>
      </c>
      <c r="AO54" s="9">
        <v>1</v>
      </c>
      <c r="AP54" s="9">
        <v>1.1424004938159773</v>
      </c>
      <c r="AQ54" s="9">
        <v>1.0435141862650925</v>
      </c>
      <c r="AR54" s="9">
        <v>1.0380193423295228</v>
      </c>
      <c r="AS54" s="9">
        <v>1.0368548428438726</v>
      </c>
      <c r="AT54" s="9">
        <v>1.0965571291480409</v>
      </c>
      <c r="AU54" s="9">
        <v>1.0695379093103476</v>
      </c>
    </row>
    <row r="55" spans="1:47" ht="15.75">
      <c r="A55" s="5"/>
      <c r="B55" s="9">
        <v>2020</v>
      </c>
      <c r="C55" s="9" t="s">
        <v>4</v>
      </c>
      <c r="D55" s="9" t="s">
        <v>39</v>
      </c>
      <c r="E55" s="7" t="s">
        <v>6</v>
      </c>
      <c r="F55" s="5" t="s">
        <v>70</v>
      </c>
      <c r="G55" s="7" t="s">
        <v>8</v>
      </c>
      <c r="H55" s="7" t="s">
        <v>9</v>
      </c>
      <c r="I55" s="9" t="s">
        <v>45</v>
      </c>
      <c r="J55" s="9">
        <v>0.8</v>
      </c>
      <c r="K55" s="5">
        <v>2924</v>
      </c>
      <c r="L55" s="5">
        <v>14299</v>
      </c>
      <c r="M55" s="5">
        <v>4405.1436555891232</v>
      </c>
      <c r="N55" s="5">
        <v>8333.1413897280963</v>
      </c>
      <c r="O55">
        <v>7040.9006797583079</v>
      </c>
      <c r="P55">
        <v>1571.5203927492448</v>
      </c>
      <c r="Q55">
        <v>672.00000000000068</v>
      </c>
      <c r="R55">
        <v>507.99222054380658</v>
      </c>
      <c r="S55">
        <v>6081.0806616314239</v>
      </c>
      <c r="T55" s="5">
        <v>339303</v>
      </c>
      <c r="U55" s="5">
        <v>89448</v>
      </c>
      <c r="V55" s="5">
        <v>35475</v>
      </c>
      <c r="W55" s="9">
        <v>464226</v>
      </c>
      <c r="Y55" s="2">
        <v>42910.779000000002</v>
      </c>
      <c r="Z55">
        <v>251.08772658610269</v>
      </c>
      <c r="AA55">
        <v>256.90449395770389</v>
      </c>
      <c r="AB55">
        <v>693.62197885196383</v>
      </c>
      <c r="AC55">
        <v>877.89841389728099</v>
      </c>
      <c r="AD55">
        <v>335.70000000000067</v>
      </c>
      <c r="AE55">
        <v>336.3</v>
      </c>
      <c r="AF55">
        <v>2118.8314954682778</v>
      </c>
      <c r="AG55">
        <v>2286.3121601208459</v>
      </c>
      <c r="AH55">
        <v>4013.0123867069483</v>
      </c>
      <c r="AI55">
        <v>4320.1290030211476</v>
      </c>
      <c r="AJ55">
        <v>2768.1489562904076</v>
      </c>
      <c r="AK55">
        <v>3312.9317053410164</v>
      </c>
      <c r="AL55">
        <v>3301.0957326283988</v>
      </c>
      <c r="AM55">
        <v>3739.8049471299091</v>
      </c>
      <c r="AO55" s="9">
        <v>1.0114505048234288</v>
      </c>
      <c r="AP55" s="9">
        <v>1.1172599705963349</v>
      </c>
      <c r="AQ55" s="9">
        <v>1.0008928571428561</v>
      </c>
      <c r="AR55" s="9">
        <v>1.0380193423295228</v>
      </c>
      <c r="AS55" s="9">
        <v>1.0368548428438726</v>
      </c>
      <c r="AT55" s="9">
        <v>1.0895865026898781</v>
      </c>
      <c r="AU55" s="9">
        <v>1.0623086781727717</v>
      </c>
    </row>
    <row r="56" spans="1:47" ht="15.75">
      <c r="A56" s="5"/>
      <c r="B56" s="9">
        <v>2020</v>
      </c>
      <c r="C56" s="9" t="s">
        <v>4</v>
      </c>
      <c r="D56" s="9" t="s">
        <v>5</v>
      </c>
      <c r="E56" s="7" t="s">
        <v>6</v>
      </c>
      <c r="F56" s="7" t="s">
        <v>7</v>
      </c>
      <c r="G56" s="7" t="s">
        <v>8</v>
      </c>
      <c r="H56" s="7" t="s">
        <v>9</v>
      </c>
      <c r="I56" s="9" t="s">
        <v>45</v>
      </c>
      <c r="J56" s="9">
        <v>0.8</v>
      </c>
      <c r="K56" s="5">
        <v>3642</v>
      </c>
      <c r="L56" s="5">
        <v>6165</v>
      </c>
      <c r="M56" s="5">
        <v>5089.2924710424713</v>
      </c>
      <c r="N56" s="5">
        <v>9579.5770557528922</v>
      </c>
      <c r="O56">
        <v>8833.0024131274149</v>
      </c>
      <c r="P56">
        <v>2324.278957528958</v>
      </c>
      <c r="Q56">
        <v>551.19691119691106</v>
      </c>
      <c r="R56">
        <v>524.30135135135129</v>
      </c>
      <c r="S56">
        <v>6128</v>
      </c>
      <c r="T56" s="5">
        <v>328503</v>
      </c>
      <c r="U56" s="5">
        <v>47021</v>
      </c>
      <c r="V56" s="5">
        <v>71932</v>
      </c>
      <c r="W56" s="9">
        <v>447456</v>
      </c>
      <c r="Y56" s="2">
        <v>39194.649160000001</v>
      </c>
      <c r="Z56">
        <v>260.30135135135134</v>
      </c>
      <c r="AA56">
        <v>264</v>
      </c>
      <c r="AB56">
        <v>1044.3875482625483</v>
      </c>
      <c r="AC56">
        <v>1279.8914092664095</v>
      </c>
      <c r="AD56">
        <v>262.58532818532814</v>
      </c>
      <c r="AE56">
        <v>288.61158301158298</v>
      </c>
      <c r="AF56">
        <v>2437.6267374517374</v>
      </c>
      <c r="AG56">
        <v>2651.6657335907339</v>
      </c>
      <c r="AH56">
        <v>4589.4832333590703</v>
      </c>
      <c r="AI56">
        <v>4990.0938223938219</v>
      </c>
      <c r="AJ56">
        <v>2768.1489562904085</v>
      </c>
      <c r="AK56">
        <v>3359.8510437095911</v>
      </c>
      <c r="AL56">
        <v>4136.1677123552126</v>
      </c>
      <c r="AM56">
        <v>4696.8347007722014</v>
      </c>
      <c r="AO56" s="9">
        <v>1.0070544327973134</v>
      </c>
      <c r="AP56" s="9">
        <v>1.1013234062292743</v>
      </c>
      <c r="AQ56" s="9">
        <v>1.0472177080414684</v>
      </c>
      <c r="AR56" s="9">
        <v>1.0420567293699183</v>
      </c>
      <c r="AS56" s="9">
        <v>1.0418192355156399</v>
      </c>
      <c r="AT56" s="9">
        <v>1.0965571291480389</v>
      </c>
      <c r="AU56" s="9">
        <v>1.0634741124471716</v>
      </c>
    </row>
    <row r="57" spans="1:47" ht="15.75">
      <c r="A57" s="5"/>
      <c r="B57" s="9">
        <v>2020</v>
      </c>
      <c r="C57" s="9" t="s">
        <v>4</v>
      </c>
      <c r="D57" s="9" t="s">
        <v>5</v>
      </c>
      <c r="E57" s="7" t="s">
        <v>6</v>
      </c>
      <c r="F57" s="5" t="s">
        <v>48</v>
      </c>
      <c r="G57" s="7" t="s">
        <v>8</v>
      </c>
      <c r="H57" s="7" t="s">
        <v>9</v>
      </c>
      <c r="I57" s="9" t="s">
        <v>45</v>
      </c>
      <c r="J57" s="9">
        <v>0.8</v>
      </c>
      <c r="K57" s="5">
        <v>3360</v>
      </c>
      <c r="L57" s="5">
        <v>6165</v>
      </c>
      <c r="M57" s="5">
        <v>6123.9999999999964</v>
      </c>
      <c r="N57" s="5">
        <v>9216.0073167145929</v>
      </c>
      <c r="O57">
        <v>8366.3772197332746</v>
      </c>
      <c r="P57">
        <v>2147.6510617760619</v>
      </c>
      <c r="Q57">
        <v>525.17065637065639</v>
      </c>
      <c r="R57">
        <v>522.44290540540533</v>
      </c>
      <c r="S57">
        <v>6128.0000000000109</v>
      </c>
      <c r="T57" s="5">
        <v>314065</v>
      </c>
      <c r="U57" s="5">
        <v>47021</v>
      </c>
      <c r="V57" s="5">
        <v>71932</v>
      </c>
      <c r="W57" s="9">
        <v>433018</v>
      </c>
      <c r="Y57" s="2">
        <v>39194.649160000001</v>
      </c>
      <c r="Z57">
        <v>258.44290540540538</v>
      </c>
      <c r="AA57">
        <v>264</v>
      </c>
      <c r="AB57">
        <v>926.63561776061783</v>
      </c>
      <c r="AC57">
        <v>1221.015444015444</v>
      </c>
      <c r="AD57">
        <v>249.57220077220074</v>
      </c>
      <c r="AE57">
        <v>275.59845559845559</v>
      </c>
      <c r="AF57">
        <v>2755.7999999999961</v>
      </c>
      <c r="AG57">
        <v>3368.2000000000003</v>
      </c>
      <c r="AH57">
        <v>4401.3548262548256</v>
      </c>
      <c r="AI57">
        <v>4814.6524904597682</v>
      </c>
      <c r="AJ57">
        <v>2768.1489562904071</v>
      </c>
      <c r="AK57">
        <v>3359.8510437096033</v>
      </c>
      <c r="AL57">
        <v>3855.8342181467183</v>
      </c>
      <c r="AM57">
        <v>4510.5430015865559</v>
      </c>
      <c r="AO57" s="9">
        <v>1.0106367500392841</v>
      </c>
      <c r="AP57" s="9">
        <v>1.1370706030854847</v>
      </c>
      <c r="AQ57" s="9">
        <v>1.0495577094998352</v>
      </c>
      <c r="AR57" s="9">
        <v>1.1000000000000008</v>
      </c>
      <c r="AS57" s="9">
        <v>1.0448456310853147</v>
      </c>
      <c r="AT57" s="9">
        <v>1.0965571291480409</v>
      </c>
      <c r="AU57" s="9">
        <v>1.0782547530722872</v>
      </c>
    </row>
    <row r="58" spans="1:47" ht="15.75">
      <c r="A58" s="5"/>
      <c r="B58" s="9">
        <v>2020</v>
      </c>
      <c r="C58" s="9" t="s">
        <v>4</v>
      </c>
      <c r="D58" s="9" t="s">
        <v>5</v>
      </c>
      <c r="E58" s="7" t="s">
        <v>6</v>
      </c>
      <c r="F58" s="5" t="s">
        <v>59</v>
      </c>
      <c r="G58" s="7" t="s">
        <v>8</v>
      </c>
      <c r="H58" s="7" t="s">
        <v>9</v>
      </c>
      <c r="I58" s="9" t="s">
        <v>45</v>
      </c>
      <c r="J58" s="9">
        <v>0.8</v>
      </c>
      <c r="K58" s="5">
        <v>3128</v>
      </c>
      <c r="L58" s="5">
        <v>6165</v>
      </c>
      <c r="M58" s="5">
        <v>4714.7242277992282</v>
      </c>
      <c r="N58" s="5">
        <v>11503.999999999985</v>
      </c>
      <c r="O58">
        <v>7851.835183397684</v>
      </c>
      <c r="P58">
        <v>1869.0918646332148</v>
      </c>
      <c r="Q58">
        <v>505.59907335907337</v>
      </c>
      <c r="R58">
        <v>516.88581081081077</v>
      </c>
      <c r="S58">
        <v>6128.0000000000055</v>
      </c>
      <c r="T58" s="5">
        <v>301614</v>
      </c>
      <c r="U58" s="5">
        <v>47021</v>
      </c>
      <c r="V58" s="5">
        <v>71932</v>
      </c>
      <c r="W58" s="9">
        <v>420567</v>
      </c>
      <c r="Y58" s="2">
        <v>39255.136160000002</v>
      </c>
      <c r="Z58">
        <v>254.72601351351349</v>
      </c>
      <c r="AA58">
        <v>262.15979729729725</v>
      </c>
      <c r="AB58">
        <v>808.88368725868736</v>
      </c>
      <c r="AC58">
        <v>1060.2081773745274</v>
      </c>
      <c r="AD58">
        <v>236.55907335907335</v>
      </c>
      <c r="AE58">
        <v>269.04000000000002</v>
      </c>
      <c r="AF58">
        <v>2223.5877413127414</v>
      </c>
      <c r="AG58">
        <v>2491.1364864864868</v>
      </c>
      <c r="AH58">
        <v>5176.7999999999847</v>
      </c>
      <c r="AI58">
        <v>6327.2000000000007</v>
      </c>
      <c r="AJ58">
        <v>2768.1489562904048</v>
      </c>
      <c r="AK58">
        <v>3359.8510437096006</v>
      </c>
      <c r="AL58">
        <v>3575.5007239382239</v>
      </c>
      <c r="AM58">
        <v>4276.33445945946</v>
      </c>
      <c r="AO58" s="9">
        <v>1.0143818685448587</v>
      </c>
      <c r="AP58" s="9">
        <v>1.1344634230512578</v>
      </c>
      <c r="AQ58" s="9">
        <v>1.064242456824795</v>
      </c>
      <c r="AR58" s="9">
        <v>1.0567474855891272</v>
      </c>
      <c r="AS58" s="9">
        <v>1.1000000000000014</v>
      </c>
      <c r="AT58" s="9">
        <v>1.0965571291480409</v>
      </c>
      <c r="AU58" s="9">
        <v>1.0892573161753465</v>
      </c>
    </row>
    <row r="59" spans="1:47" ht="15.75">
      <c r="A59" s="5"/>
      <c r="B59" s="9">
        <v>2020</v>
      </c>
      <c r="C59" s="9" t="s">
        <v>4</v>
      </c>
      <c r="D59" s="9" t="s">
        <v>5</v>
      </c>
      <c r="E59" s="7" t="s">
        <v>6</v>
      </c>
      <c r="F59" s="5" t="s">
        <v>60</v>
      </c>
      <c r="G59" s="7" t="s">
        <v>8</v>
      </c>
      <c r="H59" s="7" t="s">
        <v>9</v>
      </c>
      <c r="I59" s="9" t="s">
        <v>45</v>
      </c>
      <c r="J59" s="9">
        <v>0.8</v>
      </c>
      <c r="K59" s="5">
        <v>3263</v>
      </c>
      <c r="L59" s="5">
        <v>6165</v>
      </c>
      <c r="M59" s="5">
        <v>4500.6852316602317</v>
      </c>
      <c r="N59" s="5">
        <v>8583.8724051737081</v>
      </c>
      <c r="O59">
        <v>11210.000000000022</v>
      </c>
      <c r="P59">
        <v>1676.64333976834</v>
      </c>
      <c r="Q59">
        <v>479.62471042471043</v>
      </c>
      <c r="R59">
        <v>511.31047297297295</v>
      </c>
      <c r="S59">
        <v>6128.0000000000127</v>
      </c>
      <c r="T59" s="5">
        <v>302329</v>
      </c>
      <c r="U59" s="5">
        <v>47021</v>
      </c>
      <c r="V59" s="5">
        <v>71932</v>
      </c>
      <c r="W59" s="9">
        <v>421282</v>
      </c>
      <c r="Y59" s="2">
        <v>39255.136160000002</v>
      </c>
      <c r="Z59">
        <v>251.0091216216216</v>
      </c>
      <c r="AA59">
        <v>260.30135135135134</v>
      </c>
      <c r="AB59">
        <v>691.13175675675677</v>
      </c>
      <c r="AC59">
        <v>985.51158301158307</v>
      </c>
      <c r="AD59">
        <v>223.54594594594593</v>
      </c>
      <c r="AE59">
        <v>256.07876447876447</v>
      </c>
      <c r="AF59">
        <v>2116.5682432432432</v>
      </c>
      <c r="AG59">
        <v>2384.1169884169885</v>
      </c>
      <c r="AH59">
        <v>4084.3944128957164</v>
      </c>
      <c r="AI59">
        <v>4499.4779922779917</v>
      </c>
      <c r="AJ59">
        <v>2768.1489562904057</v>
      </c>
      <c r="AK59">
        <v>3359.8510437096074</v>
      </c>
      <c r="AL59">
        <v>5045.0000000000227</v>
      </c>
      <c r="AM59">
        <v>6165</v>
      </c>
      <c r="AO59" s="9">
        <v>1.0181733608461037</v>
      </c>
      <c r="AP59" s="9">
        <v>1.1755768918006737</v>
      </c>
      <c r="AQ59" s="9">
        <v>1.0678297381801085</v>
      </c>
      <c r="AR59" s="9">
        <v>1.0594462246085694</v>
      </c>
      <c r="AS59" s="9">
        <v>1.0483562149796279</v>
      </c>
      <c r="AT59" s="9">
        <v>1.0965571291480418</v>
      </c>
      <c r="AU59" s="9">
        <v>1.0999107939339854</v>
      </c>
    </row>
    <row r="60" spans="1:47" ht="15.75">
      <c r="A60" s="5"/>
      <c r="B60" s="9">
        <v>2020</v>
      </c>
      <c r="C60" s="9" t="s">
        <v>4</v>
      </c>
      <c r="D60" s="9" t="s">
        <v>5</v>
      </c>
      <c r="E60" s="7" t="s">
        <v>6</v>
      </c>
      <c r="F60" s="5" t="s">
        <v>68</v>
      </c>
      <c r="G60" s="7" t="s">
        <v>8</v>
      </c>
      <c r="H60" s="7" t="s">
        <v>9</v>
      </c>
      <c r="I60" s="9" t="s">
        <v>45</v>
      </c>
      <c r="J60" s="9">
        <v>0.8</v>
      </c>
      <c r="K60" s="5">
        <v>3517</v>
      </c>
      <c r="L60" s="5">
        <v>6165</v>
      </c>
      <c r="M60" s="5">
        <v>4928.7632239382237</v>
      </c>
      <c r="N60" s="5">
        <v>9293.3254826254815</v>
      </c>
      <c r="O60">
        <v>8411.94689166022</v>
      </c>
      <c r="P60">
        <v>3219.9999999999982</v>
      </c>
      <c r="Q60">
        <v>525.17065637065639</v>
      </c>
      <c r="R60">
        <v>522.44290540540533</v>
      </c>
      <c r="S60">
        <v>6128.0000000000146</v>
      </c>
      <c r="T60" s="5">
        <v>320769</v>
      </c>
      <c r="U60" s="5">
        <v>47021</v>
      </c>
      <c r="V60" s="5">
        <v>71932</v>
      </c>
      <c r="W60" s="9">
        <v>439722</v>
      </c>
      <c r="Y60" s="2">
        <v>39194.649160000001</v>
      </c>
      <c r="Z60">
        <v>258.44290540540538</v>
      </c>
      <c r="AA60">
        <v>264</v>
      </c>
      <c r="AB60">
        <v>1509.0499999999981</v>
      </c>
      <c r="AC60">
        <v>1710.95</v>
      </c>
      <c r="AD60">
        <v>249.57220077220074</v>
      </c>
      <c r="AE60">
        <v>275.59845559845559</v>
      </c>
      <c r="AF60">
        <v>2330.6072393822396</v>
      </c>
      <c r="AG60">
        <v>2598.1559845559846</v>
      </c>
      <c r="AH60">
        <v>4401.3548262548256</v>
      </c>
      <c r="AI60">
        <v>4891.9706563706559</v>
      </c>
      <c r="AJ60">
        <v>2768.1489562904085</v>
      </c>
      <c r="AK60">
        <v>3359.8510437096056</v>
      </c>
      <c r="AL60">
        <v>3855.8342181467183</v>
      </c>
      <c r="AM60">
        <v>4556.1126735135012</v>
      </c>
      <c r="AO60" s="9">
        <v>1.0106367500392841</v>
      </c>
      <c r="AP60" s="9">
        <v>1.0627018633540379</v>
      </c>
      <c r="AQ60" s="9">
        <v>1.0495577094998352</v>
      </c>
      <c r="AR60" s="9">
        <v>1.0542831402154405</v>
      </c>
      <c r="AS60" s="9">
        <v>1.0527922788277533</v>
      </c>
      <c r="AT60" s="9">
        <v>1.0965571291480409</v>
      </c>
      <c r="AU60" s="9">
        <v>1.083248083277969</v>
      </c>
    </row>
    <row r="61" spans="1:47" ht="15.75">
      <c r="A61" s="5"/>
      <c r="B61" s="9">
        <v>2020</v>
      </c>
      <c r="C61" s="9" t="s">
        <v>4</v>
      </c>
      <c r="D61" s="9" t="s">
        <v>5</v>
      </c>
      <c r="E61" s="7" t="s">
        <v>6</v>
      </c>
      <c r="F61" s="5" t="s">
        <v>69</v>
      </c>
      <c r="G61" s="7" t="s">
        <v>8</v>
      </c>
      <c r="H61" s="7" t="s">
        <v>9</v>
      </c>
      <c r="I61" s="9" t="s">
        <v>45</v>
      </c>
      <c r="J61" s="9">
        <v>0.8</v>
      </c>
      <c r="K61" s="5">
        <v>3642</v>
      </c>
      <c r="L61" s="5">
        <v>6165</v>
      </c>
      <c r="M61" s="5">
        <v>5089.2924710424713</v>
      </c>
      <c r="N61" s="5">
        <v>9575.8784071042355</v>
      </c>
      <c r="O61">
        <v>8833.0024131274149</v>
      </c>
      <c r="P61">
        <v>2324.278957528958</v>
      </c>
      <c r="Q61">
        <v>551.19691119691106</v>
      </c>
      <c r="R61">
        <v>528</v>
      </c>
      <c r="S61">
        <v>6128.0000000000073</v>
      </c>
      <c r="T61" s="5">
        <v>327263</v>
      </c>
      <c r="U61" s="5">
        <v>47021</v>
      </c>
      <c r="V61" s="5">
        <v>71932</v>
      </c>
      <c r="W61" s="9">
        <v>446216</v>
      </c>
      <c r="Y61" s="2">
        <v>39194.649159999994</v>
      </c>
      <c r="Z61">
        <v>264</v>
      </c>
      <c r="AA61">
        <v>264</v>
      </c>
      <c r="AB61">
        <v>1044.3875482625483</v>
      </c>
      <c r="AC61">
        <v>1279.8914092664095</v>
      </c>
      <c r="AD61">
        <v>262.58532818532814</v>
      </c>
      <c r="AE61">
        <v>288.61158301158298</v>
      </c>
      <c r="AF61">
        <v>2437.6267374517374</v>
      </c>
      <c r="AG61">
        <v>2651.6657335907339</v>
      </c>
      <c r="AH61">
        <v>4585.7845847104145</v>
      </c>
      <c r="AI61">
        <v>4990.0938223938219</v>
      </c>
      <c r="AJ61">
        <v>2768.1489562904067</v>
      </c>
      <c r="AK61">
        <v>3359.8510437096011</v>
      </c>
      <c r="AL61">
        <v>4136.1677123552126</v>
      </c>
      <c r="AM61">
        <v>4696.8347007722014</v>
      </c>
      <c r="AO61" s="9">
        <v>1</v>
      </c>
      <c r="AP61" s="9">
        <v>1.1013234062292743</v>
      </c>
      <c r="AQ61" s="9">
        <v>1.0472177080414684</v>
      </c>
      <c r="AR61" s="9">
        <v>1.0420567293699183</v>
      </c>
      <c r="AS61" s="9">
        <v>1.0422216344542821</v>
      </c>
      <c r="AT61" s="9">
        <v>1.0965571291480409</v>
      </c>
      <c r="AU61" s="9">
        <v>1.0634741124471716</v>
      </c>
    </row>
    <row r="62" spans="1:47" ht="15.75">
      <c r="A62" s="5"/>
      <c r="B62" s="9">
        <v>2020</v>
      </c>
      <c r="C62" s="9" t="s">
        <v>4</v>
      </c>
      <c r="D62" s="9" t="s">
        <v>5</v>
      </c>
      <c r="E62" s="7" t="s">
        <v>6</v>
      </c>
      <c r="F62" s="5" t="s">
        <v>70</v>
      </c>
      <c r="G62" s="7" t="s">
        <v>8</v>
      </c>
      <c r="H62" s="7" t="s">
        <v>9</v>
      </c>
      <c r="I62" s="9" t="s">
        <v>45</v>
      </c>
      <c r="J62" s="9">
        <v>0.8</v>
      </c>
      <c r="K62" s="5">
        <v>3595</v>
      </c>
      <c r="L62" s="5">
        <v>6165</v>
      </c>
      <c r="M62" s="5">
        <v>5089.2924710424713</v>
      </c>
      <c r="N62" s="5">
        <v>9489.5718146718136</v>
      </c>
      <c r="O62">
        <v>8802.2045654053982</v>
      </c>
      <c r="P62">
        <v>2324.278957528958</v>
      </c>
      <c r="Q62">
        <v>672</v>
      </c>
      <c r="R62">
        <v>524.30135135135129</v>
      </c>
      <c r="S62">
        <v>6128.0000000000055</v>
      </c>
      <c r="T62" s="5">
        <v>326933</v>
      </c>
      <c r="U62" s="5">
        <v>47021</v>
      </c>
      <c r="V62" s="5">
        <v>71932</v>
      </c>
      <c r="W62" s="9">
        <v>445886</v>
      </c>
      <c r="Y62" s="2">
        <v>39194.649160000001</v>
      </c>
      <c r="Z62">
        <v>260.30135135135134</v>
      </c>
      <c r="AA62">
        <v>264</v>
      </c>
      <c r="AB62">
        <v>1044.3875482625483</v>
      </c>
      <c r="AC62">
        <v>1279.8914092664095</v>
      </c>
      <c r="AD62">
        <v>335.7</v>
      </c>
      <c r="AE62">
        <v>336.3</v>
      </c>
      <c r="AF62">
        <v>2437.6267374517374</v>
      </c>
      <c r="AG62">
        <v>2651.6657335907339</v>
      </c>
      <c r="AH62">
        <v>4499.4779922779917</v>
      </c>
      <c r="AI62">
        <v>4990.0938223938219</v>
      </c>
      <c r="AJ62">
        <v>2768.1489562904057</v>
      </c>
      <c r="AK62">
        <v>3359.8510437095997</v>
      </c>
      <c r="AL62">
        <v>4105.3698646331968</v>
      </c>
      <c r="AM62">
        <v>4696.8347007722014</v>
      </c>
      <c r="AO62" s="9">
        <v>1.0070544327973134</v>
      </c>
      <c r="AP62" s="9">
        <v>1.1013234062292743</v>
      </c>
      <c r="AQ62" s="9">
        <v>1.0008928571428573</v>
      </c>
      <c r="AR62" s="9">
        <v>1.0420567293699183</v>
      </c>
      <c r="AS62" s="9">
        <v>1.0517005234479906</v>
      </c>
      <c r="AT62" s="9">
        <v>1.0965571291480407</v>
      </c>
      <c r="AU62" s="9">
        <v>1.0671950795671792</v>
      </c>
    </row>
    <row r="116" spans="3:119">
      <c r="C116" t="s">
        <v>72</v>
      </c>
      <c r="AZ116" t="s">
        <v>73</v>
      </c>
    </row>
    <row r="119" spans="3:119">
      <c r="BU119" t="s">
        <v>74</v>
      </c>
      <c r="CR119" t="s">
        <v>75</v>
      </c>
      <c r="DL119" s="5"/>
      <c r="DO119" t="s">
        <v>74</v>
      </c>
    </row>
    <row r="120" spans="3:119">
      <c r="DL120" s="5"/>
    </row>
  </sheetData>
  <mergeCells count="4">
    <mergeCell ref="C2:D2"/>
    <mergeCell ref="F2:I2"/>
    <mergeCell ref="M2:S2"/>
    <mergeCell ref="T2:V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DO120"/>
  <sheetViews>
    <sheetView zoomScale="25" zoomScaleNormal="25" workbookViewId="0">
      <selection activeCell="H53" sqref="H53"/>
    </sheetView>
  </sheetViews>
  <sheetFormatPr defaultRowHeight="15"/>
  <cols>
    <col min="1" max="1" width="3.44140625" bestFit="1" customWidth="1"/>
    <col min="2" max="2" width="5" bestFit="1" customWidth="1"/>
    <col min="3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10" width="6.109375" customWidth="1"/>
    <col min="11" max="11" width="8.44140625" bestFit="1" customWidth="1"/>
    <col min="12" max="12" width="8.6640625" bestFit="1" customWidth="1"/>
    <col min="13" max="15" width="7" customWidth="1"/>
    <col min="16" max="19" width="5.5546875" customWidth="1"/>
    <col min="20" max="22" width="7.77734375" customWidth="1"/>
    <col min="23" max="23" width="8.44140625" customWidth="1"/>
    <col min="24" max="24" width="5.109375" customWidth="1"/>
    <col min="25" max="25" width="10" bestFit="1" customWidth="1"/>
  </cols>
  <sheetData>
    <row r="2" spans="1:47" ht="15.75">
      <c r="C2" s="47" t="s">
        <v>28</v>
      </c>
      <c r="D2" s="47"/>
      <c r="F2" s="47" t="s">
        <v>23</v>
      </c>
      <c r="G2" s="47"/>
      <c r="H2" s="47"/>
      <c r="I2" s="47"/>
      <c r="J2" s="15"/>
      <c r="M2" s="47" t="s">
        <v>11</v>
      </c>
      <c r="N2" s="47"/>
      <c r="O2" s="47"/>
      <c r="P2" s="47"/>
      <c r="Q2" s="47"/>
      <c r="R2" s="47"/>
      <c r="S2" s="47"/>
      <c r="T2" s="47" t="s">
        <v>19</v>
      </c>
      <c r="U2" s="47"/>
      <c r="V2" s="47"/>
    </row>
    <row r="3" spans="1:47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K3" s="1" t="s">
        <v>2</v>
      </c>
      <c r="L3" s="1" t="s">
        <v>3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20</v>
      </c>
      <c r="U3" s="1" t="s">
        <v>21</v>
      </c>
      <c r="V3" s="1" t="s">
        <v>22</v>
      </c>
      <c r="W3" s="1" t="s">
        <v>46</v>
      </c>
      <c r="AO3" s="1" t="s">
        <v>61</v>
      </c>
    </row>
    <row r="4" spans="1:47" s="1" customFormat="1" ht="15.75">
      <c r="J4" s="1" t="s">
        <v>64</v>
      </c>
      <c r="K4" s="1">
        <v>5082</v>
      </c>
      <c r="L4" s="1">
        <v>16515</v>
      </c>
      <c r="M4" s="1">
        <v>6776</v>
      </c>
      <c r="N4" s="1">
        <v>9592</v>
      </c>
      <c r="O4" s="1">
        <v>8190</v>
      </c>
      <c r="P4" s="1">
        <v>2092</v>
      </c>
      <c r="Q4" s="1">
        <v>514</v>
      </c>
      <c r="R4" s="1">
        <v>528</v>
      </c>
      <c r="S4" s="1">
        <v>6052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56</v>
      </c>
      <c r="AH4" s="1" t="s">
        <v>57</v>
      </c>
      <c r="AI4" s="1" t="s">
        <v>58</v>
      </c>
      <c r="AJ4" s="1" t="s">
        <v>62</v>
      </c>
      <c r="AK4" s="1" t="s">
        <v>63</v>
      </c>
      <c r="AL4" s="1" t="s">
        <v>66</v>
      </c>
      <c r="AM4" s="1" t="s">
        <v>67</v>
      </c>
      <c r="AO4" s="1" t="s">
        <v>17</v>
      </c>
      <c r="AP4" s="1" t="s">
        <v>15</v>
      </c>
      <c r="AQ4" s="1" t="s">
        <v>16</v>
      </c>
      <c r="AR4" s="1" t="s">
        <v>12</v>
      </c>
      <c r="AS4" s="1" t="s">
        <v>13</v>
      </c>
      <c r="AT4" s="1" t="s">
        <v>18</v>
      </c>
      <c r="AU4" s="1" t="s">
        <v>14</v>
      </c>
    </row>
    <row r="5" spans="1:47" s="9" customFormat="1" ht="15.75">
      <c r="A5" s="9">
        <v>1</v>
      </c>
      <c r="B5" s="9">
        <v>2020</v>
      </c>
      <c r="C5" s="9" t="s">
        <v>4</v>
      </c>
      <c r="D5" s="9" t="s">
        <v>5</v>
      </c>
      <c r="E5" s="9" t="s">
        <v>6</v>
      </c>
      <c r="F5" s="9" t="s">
        <v>7</v>
      </c>
      <c r="G5" s="9" t="s">
        <v>8</v>
      </c>
      <c r="H5" s="9" t="s">
        <v>9</v>
      </c>
      <c r="I5" s="9" t="s">
        <v>47</v>
      </c>
      <c r="J5" s="9">
        <v>0.5</v>
      </c>
      <c r="K5" s="9">
        <v>2918</v>
      </c>
      <c r="L5" s="9">
        <v>6165</v>
      </c>
      <c r="M5" s="9">
        <v>5089</v>
      </c>
      <c r="N5" s="9">
        <v>9583</v>
      </c>
      <c r="O5" s="9">
        <v>8833</v>
      </c>
      <c r="P5" s="9">
        <v>2324</v>
      </c>
      <c r="Q5" s="9">
        <v>551</v>
      </c>
      <c r="R5" s="9">
        <v>520</v>
      </c>
      <c r="S5" s="9">
        <v>6128</v>
      </c>
      <c r="T5" s="9">
        <v>329951</v>
      </c>
      <c r="U5" s="9">
        <v>47021</v>
      </c>
      <c r="V5" s="9">
        <v>71932</v>
      </c>
      <c r="W5" s="9">
        <f>SUM(T5:V5)</f>
        <v>448904</v>
      </c>
      <c r="Y5" s="8">
        <f>M5+N5+O5+P5+Q5+R5+S5</f>
        <v>33028</v>
      </c>
      <c r="Z5" s="9">
        <v>256.58445945945942</v>
      </c>
      <c r="AA5" s="9">
        <v>264</v>
      </c>
      <c r="AB5" s="9">
        <v>926.63561776061783</v>
      </c>
      <c r="AC5" s="9">
        <v>1397.64333976834</v>
      </c>
      <c r="AD5" s="9">
        <v>249.57220077220074</v>
      </c>
      <c r="AE5" s="9">
        <v>301.62471042471037</v>
      </c>
      <c r="AF5" s="9">
        <v>2330.6072393822396</v>
      </c>
      <c r="AG5" s="9">
        <v>2758.6852316602317</v>
      </c>
      <c r="AH5" s="9">
        <v>4396.9537932046187</v>
      </c>
      <c r="AI5" s="9">
        <v>5186.340154440154</v>
      </c>
      <c r="AJ5" s="9">
        <v>2757.6000000000172</v>
      </c>
      <c r="AK5" s="9">
        <v>3370.4</v>
      </c>
      <c r="AO5" s="9">
        <f>2*AA5/SUM(Z5:AA5)</f>
        <v>1.0142446444679514</v>
      </c>
      <c r="AP5" s="9">
        <f>2*AC5/SUM(AB5:AC5)</f>
        <v>1.2026468124585488</v>
      </c>
      <c r="AQ5" s="9">
        <f>2*AE5/SUM(AD5:AE5)</f>
        <v>1.0944354160829364</v>
      </c>
      <c r="AR5" s="9">
        <f>2*AG5/SUM(AF5:AG5)</f>
        <v>1.0841134587398367</v>
      </c>
      <c r="AS5" s="9">
        <f>2*AI5/SUM(AH5:AI5)</f>
        <v>1.0823710892672282</v>
      </c>
      <c r="AT5" s="9">
        <f>2*AK5/SUM(AJ5:AK5)</f>
        <v>1.099999999999997</v>
      </c>
      <c r="AU5" s="9" t="e">
        <f>2*AM5/SUM(AL5:AM5)</f>
        <v>#DIV/0!</v>
      </c>
    </row>
    <row r="6" spans="1:47" s="5" customFormat="1" ht="15.75">
      <c r="A6" s="5">
        <v>2</v>
      </c>
      <c r="B6" s="5">
        <v>2020</v>
      </c>
      <c r="C6" s="5" t="s">
        <v>4</v>
      </c>
      <c r="D6" s="5" t="s">
        <v>5</v>
      </c>
      <c r="E6" s="5" t="s">
        <v>6</v>
      </c>
      <c r="F6" s="5" t="s">
        <v>48</v>
      </c>
      <c r="G6" s="5" t="s">
        <v>8</v>
      </c>
      <c r="H6" s="5" t="s">
        <v>9</v>
      </c>
      <c r="I6" s="9" t="s">
        <v>47</v>
      </c>
      <c r="J6" s="9">
        <v>0.5</v>
      </c>
      <c r="K6" s="5">
        <v>2612</v>
      </c>
      <c r="L6" s="5">
        <v>6165</v>
      </c>
      <c r="M6" s="5">
        <v>6124</v>
      </c>
      <c r="N6" s="5">
        <v>9391</v>
      </c>
      <c r="O6" s="5">
        <v>8552</v>
      </c>
      <c r="P6" s="5">
        <v>2206</v>
      </c>
      <c r="Q6" s="5">
        <v>538</v>
      </c>
      <c r="R6" s="5">
        <v>520</v>
      </c>
      <c r="S6" s="5">
        <v>5724</v>
      </c>
      <c r="T6" s="5">
        <v>320577</v>
      </c>
      <c r="U6" s="5">
        <v>47021</v>
      </c>
      <c r="V6" s="5">
        <v>71932</v>
      </c>
      <c r="W6" s="9">
        <f>SUM(T6:V6)</f>
        <v>439530</v>
      </c>
      <c r="Y6" s="4">
        <f t="shared" ref="Y6:Y11" si="0">M6+N6+O6+P6+Q6+R6+S6</f>
        <v>33055</v>
      </c>
      <c r="Z6" s="5">
        <v>256.58445945945942</v>
      </c>
      <c r="AA6" s="5">
        <v>264</v>
      </c>
      <c r="AB6" s="5">
        <v>867.7596525096526</v>
      </c>
      <c r="AC6" s="5">
        <v>1338.7673745173747</v>
      </c>
      <c r="AD6" s="5">
        <v>243.06563706563705</v>
      </c>
      <c r="AE6" s="5">
        <v>295.1181467181467</v>
      </c>
      <c r="AF6" s="5">
        <v>2755.8000000000006</v>
      </c>
      <c r="AG6" s="5">
        <v>3368.2000000000003</v>
      </c>
      <c r="AH6" s="5">
        <v>4303.2316602316596</v>
      </c>
      <c r="AI6" s="5">
        <v>5088.216988416988</v>
      </c>
      <c r="AJ6" s="5">
        <v>2372.1389077121598</v>
      </c>
      <c r="AK6" s="5">
        <v>3370.4</v>
      </c>
      <c r="AO6" s="9">
        <f>2*AA6/SUM(Z6:AA6)</f>
        <v>1.0142446444679514</v>
      </c>
      <c r="AP6" s="9">
        <f>2*AC6/SUM(AB6:AC6)</f>
        <v>1.213461116151537</v>
      </c>
      <c r="AQ6" s="9">
        <f>2*AE6/SUM(AD6:AE6)</f>
        <v>1.0967188369864036</v>
      </c>
      <c r="AR6" s="9">
        <f>2*AG6/SUM(AF6:AG6)</f>
        <v>1.0999999999999999</v>
      </c>
      <c r="AS6" s="9">
        <f>2*AI6/SUM(AH6:AI6)</f>
        <v>1.0835851163705486</v>
      </c>
      <c r="AT6" s="9">
        <f>2*AK6/SUM(AJ6:AK6)</f>
        <v>1.1738361913311877</v>
      </c>
      <c r="AU6" s="9" t="e">
        <f t="shared" ref="AU6:AU41" si="1">2*AM6/SUM(AL6:AM6)</f>
        <v>#DIV/0!</v>
      </c>
    </row>
    <row r="7" spans="1:47" s="5" customFormat="1" ht="15.75">
      <c r="A7" s="5">
        <v>3</v>
      </c>
      <c r="B7" s="5">
        <v>2020</v>
      </c>
      <c r="C7" s="5" t="s">
        <v>4</v>
      </c>
      <c r="D7" s="5" t="s">
        <v>5</v>
      </c>
      <c r="E7" s="5" t="s">
        <v>6</v>
      </c>
      <c r="F7" s="5" t="s">
        <v>59</v>
      </c>
      <c r="G7" s="5" t="s">
        <v>8</v>
      </c>
      <c r="H7" s="5" t="s">
        <v>9</v>
      </c>
      <c r="I7" s="9" t="s">
        <v>47</v>
      </c>
      <c r="J7" s="9">
        <v>0.5</v>
      </c>
      <c r="K7" s="5">
        <v>2197</v>
      </c>
      <c r="L7" s="5">
        <v>6165</v>
      </c>
      <c r="M7" s="5">
        <v>4910</v>
      </c>
      <c r="N7" s="5">
        <v>11504</v>
      </c>
      <c r="O7" s="5">
        <v>8334</v>
      </c>
      <c r="P7" s="5">
        <v>2088</v>
      </c>
      <c r="Q7" s="5">
        <v>525</v>
      </c>
      <c r="R7" s="5">
        <v>518</v>
      </c>
      <c r="S7" s="5">
        <v>5208</v>
      </c>
      <c r="T7" s="5">
        <v>315095</v>
      </c>
      <c r="U7" s="5">
        <v>47021</v>
      </c>
      <c r="V7" s="5">
        <v>71932</v>
      </c>
      <c r="W7" s="9">
        <f t="shared" ref="W7:W41" si="2">SUM(T7:V7)</f>
        <v>434048</v>
      </c>
      <c r="Y7" s="4">
        <f t="shared" si="0"/>
        <v>33087</v>
      </c>
      <c r="Z7" s="5">
        <v>254.72601351351349</v>
      </c>
      <c r="AA7" s="5">
        <v>264</v>
      </c>
      <c r="AB7" s="5">
        <v>808.88368725868736</v>
      </c>
      <c r="AC7" s="5">
        <v>1279.8914092664095</v>
      </c>
      <c r="AD7" s="5">
        <v>236.55907335907335</v>
      </c>
      <c r="AE7" s="5">
        <v>288.61158301158298</v>
      </c>
      <c r="AF7" s="5">
        <v>2223.5877413127414</v>
      </c>
      <c r="AG7" s="5">
        <v>2687.2008582682402</v>
      </c>
      <c r="AH7" s="5">
        <v>5176.7999999999756</v>
      </c>
      <c r="AI7" s="5">
        <v>6327.2000000000007</v>
      </c>
      <c r="AJ7" s="5">
        <v>1838</v>
      </c>
      <c r="AK7" s="5">
        <v>3370.4</v>
      </c>
      <c r="AO7" s="9">
        <f>2*AA7/SUM(Z7:AA7)</f>
        <v>1.0178783909904008</v>
      </c>
      <c r="AP7" s="9">
        <f>2*AC7/SUM(AB7:AC7)</f>
        <v>1.2254947039493596</v>
      </c>
      <c r="AQ7" s="9">
        <f>2*AE7/SUM(AD7:AE7)</f>
        <v>1.0991154189996706</v>
      </c>
      <c r="AR7" s="9">
        <f>2*AG7/SUM(AF7:AG7)</f>
        <v>1.0944070606083629</v>
      </c>
      <c r="AS7" s="9">
        <f>2*AI7/SUM(AH7:AI7)</f>
        <v>1.1000000000000023</v>
      </c>
      <c r="AT7" s="9">
        <f>2*AK7/SUM(AJ7:AK7)</f>
        <v>1.2942170340219648</v>
      </c>
      <c r="AU7" s="9" t="e">
        <f t="shared" si="1"/>
        <v>#DIV/0!</v>
      </c>
    </row>
    <row r="8" spans="1:47" s="5" customFormat="1" ht="15.75">
      <c r="A8" s="5">
        <v>4</v>
      </c>
      <c r="B8" s="5">
        <v>2020</v>
      </c>
      <c r="C8" s="5" t="s">
        <v>4</v>
      </c>
      <c r="D8" s="5" t="s">
        <v>5</v>
      </c>
      <c r="E8" s="5" t="s">
        <v>6</v>
      </c>
      <c r="F8" s="5" t="s">
        <v>60</v>
      </c>
      <c r="G8" s="5" t="s">
        <v>8</v>
      </c>
      <c r="H8" s="5" t="s">
        <v>9</v>
      </c>
      <c r="I8" s="9" t="s">
        <v>47</v>
      </c>
      <c r="J8" s="9">
        <v>0.5</v>
      </c>
      <c r="K8" s="5">
        <v>2381</v>
      </c>
      <c r="L8" s="5">
        <v>6165</v>
      </c>
      <c r="M8" s="5">
        <v>4740</v>
      </c>
      <c r="N8" s="5">
        <v>8999</v>
      </c>
      <c r="O8" s="5">
        <v>11210</v>
      </c>
      <c r="P8" s="5">
        <v>1912</v>
      </c>
      <c r="Q8" s="5">
        <v>505</v>
      </c>
      <c r="R8" s="5">
        <v>515</v>
      </c>
      <c r="S8" s="5">
        <v>5208</v>
      </c>
      <c r="T8" s="5">
        <v>315586</v>
      </c>
      <c r="U8" s="5">
        <v>47021</v>
      </c>
      <c r="V8" s="5">
        <v>71932</v>
      </c>
      <c r="W8" s="9">
        <f t="shared" si="2"/>
        <v>434539</v>
      </c>
      <c r="Y8" s="4">
        <f t="shared" si="0"/>
        <v>33089</v>
      </c>
      <c r="Z8" s="5">
        <v>251.0091216216216</v>
      </c>
      <c r="AA8" s="5">
        <v>264</v>
      </c>
      <c r="AB8" s="5">
        <v>691.13175675675677</v>
      </c>
      <c r="AC8" s="5">
        <v>1221.015444015444</v>
      </c>
      <c r="AD8" s="5">
        <v>223.54594594594593</v>
      </c>
      <c r="AE8" s="5">
        <v>282.10501930501925</v>
      </c>
      <c r="AF8" s="5">
        <v>2141.8169032432384</v>
      </c>
      <c r="AG8" s="5">
        <v>2598.1559845559846</v>
      </c>
      <c r="AH8" s="5">
        <v>4106.9853281853275</v>
      </c>
      <c r="AI8" s="5">
        <v>4891.9706563706559</v>
      </c>
      <c r="AJ8" s="5">
        <v>1838</v>
      </c>
      <c r="AK8" s="5">
        <v>3370.4</v>
      </c>
      <c r="AO8" s="9">
        <f>2*AA8/SUM(Z8:AA8)</f>
        <v>1.0252245597854146</v>
      </c>
      <c r="AP8" s="9">
        <f>2*AC8/SUM(AB8:AC8)</f>
        <v>1.2771144852471081</v>
      </c>
      <c r="AQ8" s="9">
        <f>2*AE8/SUM(AD8:AE8)</f>
        <v>1.1158092783032842</v>
      </c>
      <c r="AR8" s="9">
        <f>2*AG8/SUM(AF8:AG8)</f>
        <v>1.096274618466146</v>
      </c>
      <c r="AS8" s="9">
        <f>2*AI8/SUM(AH8:AI8)</f>
        <v>1.0872307109327484</v>
      </c>
      <c r="AT8" s="9">
        <f>2*AK8/SUM(AJ8:AK8)</f>
        <v>1.2942170340219648</v>
      </c>
      <c r="AU8" s="9" t="e">
        <f t="shared" si="1"/>
        <v>#DIV/0!</v>
      </c>
    </row>
    <row r="9" spans="1:47" s="1" customFormat="1" ht="15.75">
      <c r="A9" s="1">
        <v>5</v>
      </c>
      <c r="B9" s="7">
        <v>2020</v>
      </c>
      <c r="C9" s="7" t="s">
        <v>4</v>
      </c>
      <c r="D9" s="7" t="s">
        <v>39</v>
      </c>
      <c r="E9" s="7" t="s">
        <v>6</v>
      </c>
      <c r="F9" s="7" t="s">
        <v>7</v>
      </c>
      <c r="G9" s="7" t="s">
        <v>8</v>
      </c>
      <c r="H9" s="7" t="s">
        <v>9</v>
      </c>
      <c r="I9" s="9" t="s">
        <v>47</v>
      </c>
      <c r="J9" s="9">
        <v>0.5</v>
      </c>
      <c r="K9" s="7">
        <v>1799</v>
      </c>
      <c r="L9" s="7">
        <v>14299</v>
      </c>
      <c r="M9" s="7">
        <v>4572</v>
      </c>
      <c r="N9" s="7">
        <v>8563</v>
      </c>
      <c r="O9" s="11">
        <v>7479</v>
      </c>
      <c r="P9" s="11">
        <v>1755</v>
      </c>
      <c r="Q9" s="11">
        <v>483</v>
      </c>
      <c r="R9" s="7">
        <v>512</v>
      </c>
      <c r="S9" s="7">
        <v>5208</v>
      </c>
      <c r="T9" s="1">
        <v>356947</v>
      </c>
      <c r="U9" s="1">
        <v>89447</v>
      </c>
      <c r="V9" s="7">
        <v>35475</v>
      </c>
      <c r="W9" s="9">
        <f t="shared" si="2"/>
        <v>481869</v>
      </c>
      <c r="Y9" s="8">
        <f t="shared" si="0"/>
        <v>28572</v>
      </c>
      <c r="Z9" s="1">
        <v>249.6335347432024</v>
      </c>
      <c r="AA9" s="1">
        <v>262.72126132930509</v>
      </c>
      <c r="AB9" s="1">
        <v>693.62197885196383</v>
      </c>
      <c r="AC9" s="1">
        <v>1062.1748489425984</v>
      </c>
      <c r="AD9" s="1">
        <v>218.72990936555891</v>
      </c>
      <c r="AE9" s="1">
        <v>264.55105740181267</v>
      </c>
      <c r="AF9" s="1">
        <v>2118.7726383685795</v>
      </c>
      <c r="AG9" s="1">
        <v>2453.7928247734139</v>
      </c>
      <c r="AH9" s="1">
        <v>3936.2332326283986</v>
      </c>
      <c r="AI9" s="1">
        <v>4627.2456193353473</v>
      </c>
      <c r="AJ9" s="1">
        <v>1838</v>
      </c>
      <c r="AK9" s="1">
        <v>3370.4</v>
      </c>
      <c r="AO9" s="9">
        <f>2*AA9/SUM(Z9:AA9)</f>
        <v>1.0255442648071758</v>
      </c>
      <c r="AP9" s="9">
        <f>2*AC9/SUM(AB9:AC9)</f>
        <v>1.2099063309925044</v>
      </c>
      <c r="AQ9" s="9">
        <f>2*AE9/SUM(AD9:AE9)</f>
        <v>1.0948126476876336</v>
      </c>
      <c r="AR9" s="9">
        <f>2*AG9/SUM(AF9:AG9)</f>
        <v>1.0732674445243764</v>
      </c>
      <c r="AS9" s="9">
        <f>2*AI9/SUM(AH9:AI9)</f>
        <v>1.0806929518543142</v>
      </c>
      <c r="AT9" s="9">
        <f>2*AK9/SUM(AJ9:AK9)</f>
        <v>1.2942170340219648</v>
      </c>
      <c r="AU9" s="9" t="e">
        <f t="shared" si="1"/>
        <v>#DIV/0!</v>
      </c>
    </row>
    <row r="10" spans="1:47" ht="15.75">
      <c r="A10" s="9"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7</v>
      </c>
      <c r="G10" s="7" t="s">
        <v>8</v>
      </c>
      <c r="H10" s="7" t="s">
        <v>9</v>
      </c>
      <c r="I10" s="9" t="s">
        <v>47</v>
      </c>
      <c r="J10" s="9">
        <v>0.8</v>
      </c>
      <c r="K10" s="5">
        <v>2918</v>
      </c>
      <c r="L10" s="5">
        <v>6165</v>
      </c>
      <c r="M10" s="5">
        <v>5089</v>
      </c>
      <c r="N10" s="5">
        <v>9583</v>
      </c>
      <c r="O10" s="5">
        <v>8833</v>
      </c>
      <c r="P10" s="5">
        <v>2324</v>
      </c>
      <c r="Q10" s="5">
        <v>551</v>
      </c>
      <c r="R10" s="5">
        <v>520</v>
      </c>
      <c r="S10" s="5">
        <v>6128</v>
      </c>
      <c r="T10" s="5">
        <v>329951</v>
      </c>
      <c r="U10" s="5">
        <v>47021</v>
      </c>
      <c r="V10" s="5">
        <v>71932</v>
      </c>
      <c r="W10" s="9">
        <f t="shared" si="2"/>
        <v>448904</v>
      </c>
      <c r="Y10" s="4">
        <f t="shared" si="0"/>
        <v>33028</v>
      </c>
      <c r="AJ10">
        <v>2757.6000000000067</v>
      </c>
      <c r="AK10">
        <v>3370.4</v>
      </c>
      <c r="AO10" s="9" t="e">
        <f t="shared" ref="AO10:AO41" si="3">2*AA10/SUM(Z10:AA10)</f>
        <v>#DIV/0!</v>
      </c>
      <c r="AP10" s="9" t="e">
        <f t="shared" ref="AP10:AP41" si="4">2*AC10/SUM(AB10:AC10)</f>
        <v>#DIV/0!</v>
      </c>
      <c r="AQ10" s="9" t="e">
        <f t="shared" ref="AQ10:AQ41" si="5">2*AE10/SUM(AD10:AE10)</f>
        <v>#DIV/0!</v>
      </c>
      <c r="AR10" s="9" t="e">
        <f t="shared" ref="AR10:AR41" si="6">2*AG10/SUM(AF10:AG10)</f>
        <v>#DIV/0!</v>
      </c>
      <c r="AS10" s="9" t="e">
        <f t="shared" ref="AS10:AS41" si="7">2*AI10/SUM(AH10:AI10)</f>
        <v>#DIV/0!</v>
      </c>
      <c r="AT10" s="9">
        <f t="shared" ref="AT10:AT41" si="8">2*AK10/SUM(AJ10:AK10)</f>
        <v>1.0999999999999988</v>
      </c>
      <c r="AU10" s="9" t="e">
        <f t="shared" si="1"/>
        <v>#DIV/0!</v>
      </c>
    </row>
    <row r="11" spans="1:47" ht="15.75">
      <c r="A11" s="5"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7</v>
      </c>
      <c r="G11" s="7" t="s">
        <v>8</v>
      </c>
      <c r="H11" s="7" t="s">
        <v>9</v>
      </c>
      <c r="I11" t="s">
        <v>65</v>
      </c>
      <c r="J11" s="9">
        <v>0.5</v>
      </c>
      <c r="K11" s="5">
        <v>4329</v>
      </c>
      <c r="L11" s="5">
        <v>6165</v>
      </c>
      <c r="M11" s="5">
        <v>5057</v>
      </c>
      <c r="N11" s="5">
        <v>9587</v>
      </c>
      <c r="O11" s="5">
        <v>8833</v>
      </c>
      <c r="P11" s="5">
        <v>2324</v>
      </c>
      <c r="Q11" s="5">
        <v>544</v>
      </c>
      <c r="R11" s="5">
        <v>528</v>
      </c>
      <c r="S11" s="5">
        <v>6128</v>
      </c>
      <c r="T11" s="5">
        <v>327844</v>
      </c>
      <c r="U11" s="5">
        <v>47021</v>
      </c>
      <c r="V11" s="5">
        <v>71845</v>
      </c>
      <c r="W11" s="9">
        <f t="shared" si="2"/>
        <v>446710</v>
      </c>
      <c r="Y11" s="4">
        <f t="shared" si="0"/>
        <v>33001</v>
      </c>
      <c r="Z11">
        <v>264</v>
      </c>
      <c r="AA11">
        <v>264</v>
      </c>
      <c r="AB11">
        <v>1162.1394787644788</v>
      </c>
      <c r="AC11">
        <v>1162.1394787644788</v>
      </c>
      <c r="AD11">
        <v>269.09189189189186</v>
      </c>
      <c r="AE11">
        <v>275.59845559845559</v>
      </c>
      <c r="AF11">
        <v>2513.1957456370615</v>
      </c>
      <c r="AG11">
        <v>2544.6462355212357</v>
      </c>
      <c r="AH11">
        <v>4793.8474903474898</v>
      </c>
      <c r="AI11">
        <v>4793.8474903474898</v>
      </c>
      <c r="AJ11">
        <v>2757.6000000000008</v>
      </c>
      <c r="AK11">
        <v>3370.4</v>
      </c>
      <c r="AO11" s="9">
        <f t="shared" si="3"/>
        <v>1</v>
      </c>
      <c r="AP11" s="9">
        <f t="shared" si="4"/>
        <v>1</v>
      </c>
      <c r="AQ11" s="9">
        <f t="shared" si="5"/>
        <v>1.0119454360381868</v>
      </c>
      <c r="AR11" s="9">
        <f t="shared" si="6"/>
        <v>1.0062181637942298</v>
      </c>
      <c r="AS11" s="9">
        <f t="shared" si="7"/>
        <v>1</v>
      </c>
      <c r="AT11" s="9">
        <f t="shared" si="8"/>
        <v>1.0999999999999999</v>
      </c>
      <c r="AU11" s="9" t="e">
        <f t="shared" si="1"/>
        <v>#DIV/0!</v>
      </c>
    </row>
    <row r="12" spans="1:47" ht="16.5" customHeight="1">
      <c r="A12" s="5">
        <v>8</v>
      </c>
      <c r="B12" s="9">
        <v>2020</v>
      </c>
      <c r="C12" s="9" t="s">
        <v>4</v>
      </c>
      <c r="D12" s="9" t="s">
        <v>5</v>
      </c>
      <c r="E12" s="7" t="s">
        <v>6</v>
      </c>
      <c r="F12" s="7" t="s">
        <v>7</v>
      </c>
      <c r="G12" s="7" t="s">
        <v>8</v>
      </c>
      <c r="H12" s="7" t="s">
        <v>9</v>
      </c>
      <c r="I12" s="9" t="s">
        <v>45</v>
      </c>
      <c r="J12" s="9">
        <v>0.5</v>
      </c>
      <c r="K12" s="5">
        <v>3632</v>
      </c>
      <c r="L12" s="5">
        <v>6265</v>
      </c>
      <c r="M12" s="5">
        <v>5089</v>
      </c>
      <c r="N12" s="5">
        <v>9579</v>
      </c>
      <c r="O12" s="5">
        <v>8833</v>
      </c>
      <c r="P12" s="5">
        <v>2324</v>
      </c>
      <c r="Q12" s="5">
        <v>551</v>
      </c>
      <c r="R12" s="5">
        <v>524</v>
      </c>
      <c r="S12" s="5">
        <v>6128</v>
      </c>
      <c r="T12" s="5">
        <v>328502</v>
      </c>
      <c r="U12" s="5">
        <v>47021</v>
      </c>
      <c r="V12" s="5">
        <v>71932</v>
      </c>
      <c r="W12" s="9">
        <f t="shared" si="2"/>
        <v>447455</v>
      </c>
      <c r="Y12" s="2">
        <f t="shared" ref="Y12:Y41" si="9">L12+M12+N12+O12+P12+Q12+R12+S12</f>
        <v>39293</v>
      </c>
      <c r="Z12">
        <v>260.30135135135134</v>
      </c>
      <c r="AA12">
        <v>264</v>
      </c>
      <c r="AB12">
        <v>1044.3875482625483</v>
      </c>
      <c r="AC12">
        <v>1279.8914092664095</v>
      </c>
      <c r="AD12">
        <v>262.58532818532814</v>
      </c>
      <c r="AE12">
        <v>288.61158301158298</v>
      </c>
      <c r="AF12">
        <v>2437.6267374517374</v>
      </c>
      <c r="AG12">
        <v>2651.6657335907339</v>
      </c>
      <c r="AH12">
        <v>4589.4832333590666</v>
      </c>
      <c r="AI12">
        <v>4990.0938223938219</v>
      </c>
      <c r="AJ12">
        <v>2757.6000000000072</v>
      </c>
      <c r="AK12">
        <v>3370.4</v>
      </c>
      <c r="AL12">
        <v>4136.1677123552126</v>
      </c>
      <c r="AM12">
        <v>4696.8347007722014</v>
      </c>
      <c r="AO12" s="9">
        <f t="shared" si="3"/>
        <v>1.0070544327973134</v>
      </c>
      <c r="AP12" s="9">
        <f t="shared" si="4"/>
        <v>1.1013234062292743</v>
      </c>
      <c r="AQ12" s="9">
        <f t="shared" si="5"/>
        <v>1.0472177080414684</v>
      </c>
      <c r="AR12" s="9">
        <f t="shared" si="6"/>
        <v>1.0420567293699183</v>
      </c>
      <c r="AS12" s="9">
        <f t="shared" si="7"/>
        <v>1.0418192355156404</v>
      </c>
      <c r="AT12" s="9">
        <f t="shared" si="8"/>
        <v>1.0999999999999988</v>
      </c>
      <c r="AU12" s="9">
        <f t="shared" si="1"/>
        <v>1.0634741124471716</v>
      </c>
    </row>
    <row r="13" spans="1:47" ht="15.75">
      <c r="A13" s="5">
        <v>9</v>
      </c>
      <c r="B13" s="9">
        <v>2020</v>
      </c>
      <c r="C13" s="9" t="s">
        <v>4</v>
      </c>
      <c r="D13" s="9" t="s">
        <v>39</v>
      </c>
      <c r="E13" s="7" t="s">
        <v>6</v>
      </c>
      <c r="F13" s="7" t="s">
        <v>7</v>
      </c>
      <c r="G13" s="7" t="s">
        <v>8</v>
      </c>
      <c r="H13" s="7" t="s">
        <v>9</v>
      </c>
      <c r="I13" s="9" t="s">
        <v>45</v>
      </c>
      <c r="J13" s="9">
        <v>0.5</v>
      </c>
      <c r="K13" s="5">
        <v>2642</v>
      </c>
      <c r="L13" s="5">
        <v>14299</v>
      </c>
      <c r="M13" s="5">
        <f t="shared" ref="M13:M41" si="10">SUM(AF13:AG13)</f>
        <v>4447.0138217522654</v>
      </c>
      <c r="N13" s="5">
        <f t="shared" ref="N13:N41" si="11">SUM(AH13:AI13)</f>
        <v>8409.9205438066456</v>
      </c>
      <c r="O13">
        <f t="shared" ref="O13:O41" si="12">SUM(AL13:AM13)</f>
        <v>7250.7489223564971</v>
      </c>
      <c r="P13">
        <f t="shared" ref="P13:P41" si="13">SUM(AB13:AC13)</f>
        <v>1663.6586102719034</v>
      </c>
      <c r="Q13">
        <f t="shared" ref="Q13:Q41" si="14">SUM(AD13:AE13)</f>
        <v>473.09848942598182</v>
      </c>
      <c r="R13">
        <f t="shared" ref="R13:R41" si="15">SUM(Z13:AA13)</f>
        <v>509.44641238670687</v>
      </c>
      <c r="S13">
        <f t="shared" ref="S13:S41" si="16">SUM(AJ13:AK13)</f>
        <v>5821.6</v>
      </c>
      <c r="T13" s="5">
        <v>345494</v>
      </c>
      <c r="U13" s="5">
        <v>89447</v>
      </c>
      <c r="V13" s="5">
        <v>35475</v>
      </c>
      <c r="W13" s="9">
        <f t="shared" si="2"/>
        <v>470416</v>
      </c>
      <c r="Y13" s="2">
        <f t="shared" si="9"/>
        <v>42874.486799999999</v>
      </c>
      <c r="Z13">
        <v>251.08772658610269</v>
      </c>
      <c r="AA13">
        <v>258.35868580060418</v>
      </c>
      <c r="AB13">
        <v>739.69108761329312</v>
      </c>
      <c r="AC13">
        <v>923.96752265861028</v>
      </c>
      <c r="AD13">
        <v>223.82114803625376</v>
      </c>
      <c r="AE13">
        <v>249.27734138972809</v>
      </c>
      <c r="AF13">
        <v>2118.8314954682778</v>
      </c>
      <c r="AG13">
        <v>2328.182326283988</v>
      </c>
      <c r="AH13">
        <v>4013.0123867069483</v>
      </c>
      <c r="AI13">
        <v>4396.9081570996977</v>
      </c>
      <c r="AJ13">
        <v>2451.2000000000003</v>
      </c>
      <c r="AK13">
        <v>3370.4</v>
      </c>
      <c r="AL13">
        <v>3401.2666716012095</v>
      </c>
      <c r="AM13">
        <v>3849.4822507552872</v>
      </c>
      <c r="AO13" s="9">
        <f t="shared" si="3"/>
        <v>1.0142722748413082</v>
      </c>
      <c r="AP13" s="9">
        <f t="shared" si="4"/>
        <v>1.1107657748455975</v>
      </c>
      <c r="AQ13" s="9">
        <f t="shared" si="5"/>
        <v>1.0538073866698683</v>
      </c>
      <c r="AR13" s="9">
        <f t="shared" si="6"/>
        <v>1.0470767214150956</v>
      </c>
      <c r="AS13" s="9">
        <f t="shared" si="7"/>
        <v>1.0456479663979066</v>
      </c>
      <c r="AT13" s="9">
        <f t="shared" si="8"/>
        <v>1.1578947368421053</v>
      </c>
      <c r="AU13" s="9">
        <f t="shared" si="1"/>
        <v>1.0618164528869669</v>
      </c>
    </row>
    <row r="14" spans="1:47" ht="15.75">
      <c r="A14" s="5">
        <v>10</v>
      </c>
      <c r="B14" s="9">
        <v>2020</v>
      </c>
      <c r="C14" s="9" t="s">
        <v>4</v>
      </c>
      <c r="D14" s="9" t="s">
        <v>39</v>
      </c>
      <c r="E14" s="7" t="s">
        <v>6</v>
      </c>
      <c r="F14" s="7" t="s">
        <v>7</v>
      </c>
      <c r="G14" s="7" t="s">
        <v>8</v>
      </c>
      <c r="H14" s="7" t="s">
        <v>9</v>
      </c>
      <c r="I14" s="9" t="s">
        <v>45</v>
      </c>
      <c r="J14" s="9">
        <v>0.8</v>
      </c>
      <c r="K14" s="5">
        <v>2812</v>
      </c>
      <c r="L14" s="5">
        <v>14229</v>
      </c>
      <c r="M14" s="5">
        <f t="shared" si="10"/>
        <v>4405.1436555891232</v>
      </c>
      <c r="N14" s="5">
        <f t="shared" si="11"/>
        <v>8333.1413897280963</v>
      </c>
      <c r="O14">
        <f t="shared" si="12"/>
        <v>7115.6127818731075</v>
      </c>
      <c r="P14">
        <f t="shared" si="13"/>
        <v>1617.5895015105741</v>
      </c>
      <c r="Q14">
        <f t="shared" si="14"/>
        <v>468.00725075528698</v>
      </c>
      <c r="R14">
        <f t="shared" si="15"/>
        <v>507.99222054380658</v>
      </c>
      <c r="S14">
        <f t="shared" si="16"/>
        <v>6128.0000000000073</v>
      </c>
      <c r="T14" s="5">
        <v>340467</v>
      </c>
      <c r="U14" s="5">
        <v>89447</v>
      </c>
      <c r="V14" s="5">
        <v>35475</v>
      </c>
      <c r="W14" s="9">
        <f t="shared" si="2"/>
        <v>465389</v>
      </c>
      <c r="Y14" s="2">
        <f t="shared" si="9"/>
        <v>42804.486800000006</v>
      </c>
      <c r="Z14">
        <v>251.08772658610269</v>
      </c>
      <c r="AA14">
        <v>256.90449395770389</v>
      </c>
      <c r="AB14">
        <v>693.62197885196383</v>
      </c>
      <c r="AC14">
        <v>923.96752265861028</v>
      </c>
      <c r="AD14">
        <v>223.82114803625376</v>
      </c>
      <c r="AE14">
        <v>244.18610271903322</v>
      </c>
      <c r="AF14">
        <v>2118.8314954682778</v>
      </c>
      <c r="AG14">
        <v>2286.3121601208459</v>
      </c>
      <c r="AH14">
        <v>4013.0123867069483</v>
      </c>
      <c r="AI14">
        <v>4320.1290030211476</v>
      </c>
      <c r="AJ14">
        <v>2768.1489562904062</v>
      </c>
      <c r="AK14">
        <v>3359.8510437096015</v>
      </c>
      <c r="AL14">
        <v>3301.0957326283988</v>
      </c>
      <c r="AM14">
        <v>3814.5170492447082</v>
      </c>
      <c r="AO14" s="9">
        <f t="shared" si="3"/>
        <v>1.0114505048234288</v>
      </c>
      <c r="AP14" s="9">
        <f t="shared" si="4"/>
        <v>1.1424004938159773</v>
      </c>
      <c r="AQ14" s="9">
        <f t="shared" si="5"/>
        <v>1.0435141862650925</v>
      </c>
      <c r="AR14" s="9">
        <f t="shared" si="6"/>
        <v>1.0380193423295228</v>
      </c>
      <c r="AS14" s="9">
        <f t="shared" si="7"/>
        <v>1.0368548428438726</v>
      </c>
      <c r="AT14" s="9">
        <f t="shared" si="8"/>
        <v>1.0965571291480409</v>
      </c>
      <c r="AU14" s="9">
        <f t="shared" si="1"/>
        <v>1.0721541956195593</v>
      </c>
    </row>
    <row r="15" spans="1:47" ht="15.75">
      <c r="A15" s="5"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7" t="s">
        <v>7</v>
      </c>
      <c r="G15" s="7" t="s">
        <v>8</v>
      </c>
      <c r="H15" s="7" t="s">
        <v>9</v>
      </c>
      <c r="I15" s="9" t="s">
        <v>45</v>
      </c>
      <c r="J15" s="9">
        <v>0.8</v>
      </c>
      <c r="K15" s="5">
        <v>3642</v>
      </c>
      <c r="L15" s="5">
        <v>6165</v>
      </c>
      <c r="M15" s="5">
        <f t="shared" si="10"/>
        <v>5089.2924710424713</v>
      </c>
      <c r="N15" s="5">
        <f t="shared" si="11"/>
        <v>9579.5770557528922</v>
      </c>
      <c r="O15">
        <f t="shared" si="12"/>
        <v>8833.0024131274149</v>
      </c>
      <c r="P15">
        <f t="shared" si="13"/>
        <v>2324.278957528958</v>
      </c>
      <c r="Q15">
        <f t="shared" si="14"/>
        <v>551.19691119691106</v>
      </c>
      <c r="R15">
        <f t="shared" si="15"/>
        <v>524.30135135135129</v>
      </c>
      <c r="S15">
        <f t="shared" si="16"/>
        <v>6128</v>
      </c>
      <c r="T15" s="5">
        <v>328503</v>
      </c>
      <c r="U15" s="5">
        <v>47021</v>
      </c>
      <c r="V15" s="5">
        <v>71932</v>
      </c>
      <c r="W15" s="9">
        <f t="shared" si="2"/>
        <v>447456</v>
      </c>
      <c r="Y15" s="2">
        <f t="shared" si="9"/>
        <v>39194.649160000001</v>
      </c>
      <c r="Z15">
        <v>260.30135135135134</v>
      </c>
      <c r="AA15">
        <v>264</v>
      </c>
      <c r="AB15">
        <v>1044.3875482625483</v>
      </c>
      <c r="AC15">
        <v>1279.8914092664095</v>
      </c>
      <c r="AD15">
        <v>262.58532818532814</v>
      </c>
      <c r="AE15">
        <v>288.61158301158298</v>
      </c>
      <c r="AF15">
        <v>2437.6267374517374</v>
      </c>
      <c r="AG15">
        <v>2651.6657335907339</v>
      </c>
      <c r="AH15">
        <v>4589.4832333590703</v>
      </c>
      <c r="AI15">
        <v>4990.0938223938219</v>
      </c>
      <c r="AJ15">
        <v>2768.1489562904085</v>
      </c>
      <c r="AK15">
        <v>3359.8510437095911</v>
      </c>
      <c r="AL15">
        <v>4136.1677123552126</v>
      </c>
      <c r="AM15">
        <v>4696.8347007722014</v>
      </c>
      <c r="AO15" s="9">
        <f t="shared" si="3"/>
        <v>1.0070544327973134</v>
      </c>
      <c r="AP15" s="9">
        <f t="shared" si="4"/>
        <v>1.1013234062292743</v>
      </c>
      <c r="AQ15" s="9">
        <f t="shared" si="5"/>
        <v>1.0472177080414684</v>
      </c>
      <c r="AR15" s="9">
        <f t="shared" si="6"/>
        <v>1.0420567293699183</v>
      </c>
      <c r="AS15" s="9">
        <f t="shared" si="7"/>
        <v>1.0418192355156399</v>
      </c>
      <c r="AT15" s="9">
        <f t="shared" si="8"/>
        <v>1.0965571291480389</v>
      </c>
      <c r="AU15" s="9">
        <f t="shared" si="1"/>
        <v>1.0634741124471716</v>
      </c>
    </row>
    <row r="16" spans="1:47" ht="15.75">
      <c r="A16" s="5"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5" t="s">
        <v>48</v>
      </c>
      <c r="G16" s="7" t="s">
        <v>8</v>
      </c>
      <c r="H16" s="7" t="s">
        <v>9</v>
      </c>
      <c r="I16" s="9" t="s">
        <v>45</v>
      </c>
      <c r="J16" s="9">
        <v>0.8</v>
      </c>
      <c r="K16" s="5">
        <v>3360</v>
      </c>
      <c r="L16" s="5">
        <v>6165</v>
      </c>
      <c r="M16" s="5">
        <f t="shared" si="10"/>
        <v>6123.9999999999964</v>
      </c>
      <c r="N16" s="5">
        <f t="shared" si="11"/>
        <v>9216.0073167145929</v>
      </c>
      <c r="O16">
        <f t="shared" si="12"/>
        <v>8366.3772197332746</v>
      </c>
      <c r="P16">
        <f t="shared" si="13"/>
        <v>2147.6510617760619</v>
      </c>
      <c r="Q16">
        <f t="shared" si="14"/>
        <v>525.17065637065639</v>
      </c>
      <c r="R16">
        <f t="shared" si="15"/>
        <v>522.44290540540533</v>
      </c>
      <c r="S16">
        <f t="shared" si="16"/>
        <v>6128.0000000000109</v>
      </c>
      <c r="T16" s="5">
        <v>314065</v>
      </c>
      <c r="U16" s="5">
        <v>47021</v>
      </c>
      <c r="V16" s="5">
        <v>71932</v>
      </c>
      <c r="W16" s="9">
        <f t="shared" si="2"/>
        <v>433018</v>
      </c>
      <c r="Y16" s="2">
        <f t="shared" si="9"/>
        <v>39194.649160000001</v>
      </c>
      <c r="Z16">
        <v>258.44290540540538</v>
      </c>
      <c r="AA16">
        <v>264</v>
      </c>
      <c r="AB16">
        <v>926.63561776061783</v>
      </c>
      <c r="AC16">
        <v>1221.015444015444</v>
      </c>
      <c r="AD16">
        <v>249.57220077220074</v>
      </c>
      <c r="AE16">
        <v>275.59845559845559</v>
      </c>
      <c r="AF16">
        <v>2755.7999999999961</v>
      </c>
      <c r="AG16">
        <v>3368.2000000000003</v>
      </c>
      <c r="AH16">
        <v>4401.3548262548256</v>
      </c>
      <c r="AI16">
        <v>4814.6524904597682</v>
      </c>
      <c r="AJ16">
        <v>2768.1489562904071</v>
      </c>
      <c r="AK16">
        <v>3359.8510437096033</v>
      </c>
      <c r="AL16">
        <v>3855.8342181467183</v>
      </c>
      <c r="AM16">
        <v>4510.5430015865559</v>
      </c>
      <c r="AO16" s="9">
        <f t="shared" si="3"/>
        <v>1.0106367500392841</v>
      </c>
      <c r="AP16" s="9">
        <f t="shared" si="4"/>
        <v>1.1370706030854847</v>
      </c>
      <c r="AQ16" s="9">
        <f t="shared" si="5"/>
        <v>1.0495577094998352</v>
      </c>
      <c r="AR16" s="9">
        <f t="shared" si="6"/>
        <v>1.1000000000000008</v>
      </c>
      <c r="AS16" s="9">
        <f t="shared" si="7"/>
        <v>1.0448456310853147</v>
      </c>
      <c r="AT16" s="9">
        <f t="shared" si="8"/>
        <v>1.0965571291480409</v>
      </c>
      <c r="AU16" s="9">
        <f t="shared" si="1"/>
        <v>1.0782547530722872</v>
      </c>
    </row>
    <row r="17" spans="1:47" ht="15.75">
      <c r="A17" s="5"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5" t="s">
        <v>59</v>
      </c>
      <c r="G17" s="7" t="s">
        <v>8</v>
      </c>
      <c r="H17" s="7" t="s">
        <v>9</v>
      </c>
      <c r="I17" s="9" t="s">
        <v>45</v>
      </c>
      <c r="J17" s="9">
        <v>0.8</v>
      </c>
      <c r="K17" s="5">
        <v>3128</v>
      </c>
      <c r="L17" s="5">
        <v>6165</v>
      </c>
      <c r="M17" s="5">
        <f t="shared" si="10"/>
        <v>4714.7242277992282</v>
      </c>
      <c r="N17" s="5">
        <f t="shared" si="11"/>
        <v>11503.999999999985</v>
      </c>
      <c r="O17">
        <f t="shared" si="12"/>
        <v>7851.835183397684</v>
      </c>
      <c r="P17">
        <f t="shared" si="13"/>
        <v>1869.0918646332148</v>
      </c>
      <c r="Q17">
        <f t="shared" si="14"/>
        <v>505.59907335907337</v>
      </c>
      <c r="R17">
        <f t="shared" si="15"/>
        <v>516.88581081081077</v>
      </c>
      <c r="S17">
        <f t="shared" si="16"/>
        <v>6128.0000000000055</v>
      </c>
      <c r="T17" s="5">
        <v>301614</v>
      </c>
      <c r="U17" s="5">
        <v>47021</v>
      </c>
      <c r="V17" s="5">
        <v>71932</v>
      </c>
      <c r="W17" s="9">
        <f t="shared" si="2"/>
        <v>420567</v>
      </c>
      <c r="Y17" s="2">
        <f t="shared" si="9"/>
        <v>39255.136160000002</v>
      </c>
      <c r="Z17">
        <v>254.72601351351349</v>
      </c>
      <c r="AA17">
        <v>262.15979729729725</v>
      </c>
      <c r="AB17">
        <v>808.88368725868736</v>
      </c>
      <c r="AC17">
        <v>1060.2081773745274</v>
      </c>
      <c r="AD17">
        <v>236.55907335907335</v>
      </c>
      <c r="AE17">
        <v>269.04000000000002</v>
      </c>
      <c r="AF17">
        <v>2223.5877413127414</v>
      </c>
      <c r="AG17">
        <v>2491.1364864864868</v>
      </c>
      <c r="AH17">
        <v>5176.7999999999847</v>
      </c>
      <c r="AI17">
        <v>6327.2000000000007</v>
      </c>
      <c r="AJ17">
        <v>2768.1489562904048</v>
      </c>
      <c r="AK17">
        <v>3359.8510437096006</v>
      </c>
      <c r="AL17">
        <v>3575.5007239382239</v>
      </c>
      <c r="AM17">
        <v>4276.33445945946</v>
      </c>
      <c r="AO17" s="9">
        <f t="shared" si="3"/>
        <v>1.0143818685448587</v>
      </c>
      <c r="AP17" s="9">
        <f t="shared" si="4"/>
        <v>1.1344634230512578</v>
      </c>
      <c r="AQ17" s="9">
        <f t="shared" si="5"/>
        <v>1.064242456824795</v>
      </c>
      <c r="AR17" s="9">
        <f t="shared" si="6"/>
        <v>1.0567474855891272</v>
      </c>
      <c r="AS17" s="9">
        <f t="shared" si="7"/>
        <v>1.1000000000000014</v>
      </c>
      <c r="AT17" s="9">
        <f t="shared" si="8"/>
        <v>1.0965571291480409</v>
      </c>
      <c r="AU17" s="9">
        <f t="shared" si="1"/>
        <v>1.0892573161753465</v>
      </c>
    </row>
    <row r="18" spans="1:47" ht="15.75">
      <c r="A18" s="5">
        <v>14</v>
      </c>
      <c r="B18" s="9">
        <v>2020</v>
      </c>
      <c r="C18" s="9" t="s">
        <v>4</v>
      </c>
      <c r="D18" s="9" t="s">
        <v>5</v>
      </c>
      <c r="E18" s="7" t="s">
        <v>6</v>
      </c>
      <c r="F18" s="5" t="s">
        <v>60</v>
      </c>
      <c r="G18" s="7" t="s">
        <v>8</v>
      </c>
      <c r="H18" s="7" t="s">
        <v>9</v>
      </c>
      <c r="I18" s="9" t="s">
        <v>45</v>
      </c>
      <c r="J18" s="9">
        <v>0.8</v>
      </c>
      <c r="K18" s="5">
        <v>3263</v>
      </c>
      <c r="L18" s="5">
        <v>6165</v>
      </c>
      <c r="M18" s="5">
        <f t="shared" si="10"/>
        <v>4500.6852316602317</v>
      </c>
      <c r="N18" s="5">
        <f t="shared" si="11"/>
        <v>8583.8724051737081</v>
      </c>
      <c r="O18">
        <f t="shared" si="12"/>
        <v>11210.000000000022</v>
      </c>
      <c r="P18">
        <f t="shared" si="13"/>
        <v>1676.64333976834</v>
      </c>
      <c r="Q18">
        <f t="shared" si="14"/>
        <v>479.62471042471043</v>
      </c>
      <c r="R18">
        <f t="shared" si="15"/>
        <v>511.31047297297295</v>
      </c>
      <c r="S18">
        <f t="shared" si="16"/>
        <v>6128.0000000000127</v>
      </c>
      <c r="T18" s="5">
        <v>302329</v>
      </c>
      <c r="U18" s="5">
        <v>47021</v>
      </c>
      <c r="V18" s="5">
        <v>71932</v>
      </c>
      <c r="W18" s="9">
        <f t="shared" si="2"/>
        <v>421282</v>
      </c>
      <c r="Y18" s="2">
        <f t="shared" si="9"/>
        <v>39255.136160000002</v>
      </c>
      <c r="Z18">
        <v>251.0091216216216</v>
      </c>
      <c r="AA18">
        <v>260.30135135135134</v>
      </c>
      <c r="AB18">
        <v>691.13175675675677</v>
      </c>
      <c r="AC18">
        <v>985.51158301158307</v>
      </c>
      <c r="AD18">
        <v>223.54594594594593</v>
      </c>
      <c r="AE18">
        <v>256.07876447876447</v>
      </c>
      <c r="AF18">
        <v>2116.5682432432432</v>
      </c>
      <c r="AG18">
        <v>2384.1169884169885</v>
      </c>
      <c r="AH18">
        <v>4084.3944128957164</v>
      </c>
      <c r="AI18">
        <v>4499.4779922779917</v>
      </c>
      <c r="AJ18">
        <v>2768.1489562904057</v>
      </c>
      <c r="AK18">
        <v>3359.8510437096074</v>
      </c>
      <c r="AL18">
        <v>5045.0000000000227</v>
      </c>
      <c r="AM18">
        <v>6165</v>
      </c>
      <c r="AO18" s="9">
        <f t="shared" si="3"/>
        <v>1.0181733608461037</v>
      </c>
      <c r="AP18" s="9">
        <f t="shared" si="4"/>
        <v>1.1755768918006737</v>
      </c>
      <c r="AQ18" s="9">
        <f t="shared" si="5"/>
        <v>1.0678297381801085</v>
      </c>
      <c r="AR18" s="9">
        <f t="shared" si="6"/>
        <v>1.0594462246085694</v>
      </c>
      <c r="AS18" s="9">
        <f t="shared" si="7"/>
        <v>1.0483562149796279</v>
      </c>
      <c r="AT18" s="9">
        <f t="shared" si="8"/>
        <v>1.0965571291480418</v>
      </c>
      <c r="AU18" s="9">
        <f t="shared" si="1"/>
        <v>1.0999107939339854</v>
      </c>
    </row>
    <row r="19" spans="1:47" ht="15.75">
      <c r="A19" s="5">
        <v>15</v>
      </c>
      <c r="B19" s="9">
        <v>2020</v>
      </c>
      <c r="C19" s="9" t="s">
        <v>4</v>
      </c>
      <c r="D19" s="9" t="s">
        <v>5</v>
      </c>
      <c r="E19" s="7" t="s">
        <v>6</v>
      </c>
      <c r="F19" s="5" t="s">
        <v>68</v>
      </c>
      <c r="G19" s="7" t="s">
        <v>8</v>
      </c>
      <c r="H19" s="7" t="s">
        <v>9</v>
      </c>
      <c r="I19" s="9" t="s">
        <v>45</v>
      </c>
      <c r="J19" s="9">
        <v>0.8</v>
      </c>
      <c r="K19" s="5">
        <v>3517</v>
      </c>
      <c r="L19" s="5">
        <v>6165</v>
      </c>
      <c r="M19" s="5">
        <f t="shared" si="10"/>
        <v>4928.7632239382237</v>
      </c>
      <c r="N19" s="5">
        <f t="shared" si="11"/>
        <v>9293.3254826254815</v>
      </c>
      <c r="O19">
        <f t="shared" si="12"/>
        <v>8411.94689166022</v>
      </c>
      <c r="P19">
        <f t="shared" si="13"/>
        <v>3219.9999999999982</v>
      </c>
      <c r="Q19">
        <f t="shared" si="14"/>
        <v>525.17065637065639</v>
      </c>
      <c r="R19">
        <f t="shared" si="15"/>
        <v>522.44290540540533</v>
      </c>
      <c r="S19">
        <f t="shared" si="16"/>
        <v>6128.0000000000146</v>
      </c>
      <c r="T19" s="5">
        <v>320769</v>
      </c>
      <c r="U19" s="5">
        <v>47021</v>
      </c>
      <c r="V19" s="5">
        <v>71932</v>
      </c>
      <c r="W19" s="9">
        <f t="shared" si="2"/>
        <v>439722</v>
      </c>
      <c r="Y19" s="2">
        <f t="shared" si="9"/>
        <v>39194.649160000001</v>
      </c>
      <c r="Z19">
        <v>258.44290540540538</v>
      </c>
      <c r="AA19">
        <v>264</v>
      </c>
      <c r="AB19">
        <v>1509.0499999999981</v>
      </c>
      <c r="AC19">
        <v>1710.95</v>
      </c>
      <c r="AD19">
        <v>249.57220077220074</v>
      </c>
      <c r="AE19">
        <v>275.59845559845559</v>
      </c>
      <c r="AF19">
        <v>2330.6072393822396</v>
      </c>
      <c r="AG19">
        <v>2598.1559845559846</v>
      </c>
      <c r="AH19">
        <v>4401.3548262548256</v>
      </c>
      <c r="AI19">
        <v>4891.9706563706559</v>
      </c>
      <c r="AJ19">
        <v>2768.1489562904085</v>
      </c>
      <c r="AK19">
        <v>3359.8510437096056</v>
      </c>
      <c r="AL19">
        <v>3855.8342181467183</v>
      </c>
      <c r="AM19">
        <v>4556.1126735135012</v>
      </c>
      <c r="AO19" s="9">
        <f t="shared" si="3"/>
        <v>1.0106367500392841</v>
      </c>
      <c r="AP19" s="9">
        <f t="shared" si="4"/>
        <v>1.0627018633540379</v>
      </c>
      <c r="AQ19" s="9">
        <f t="shared" si="5"/>
        <v>1.0495577094998352</v>
      </c>
      <c r="AR19" s="9">
        <f t="shared" si="6"/>
        <v>1.0542831402154405</v>
      </c>
      <c r="AS19" s="9">
        <f t="shared" si="7"/>
        <v>1.0527922788277533</v>
      </c>
      <c r="AT19" s="9">
        <f t="shared" si="8"/>
        <v>1.0965571291480409</v>
      </c>
      <c r="AU19" s="9">
        <f t="shared" si="1"/>
        <v>1.083248083277969</v>
      </c>
    </row>
    <row r="20" spans="1:47" ht="15.75">
      <c r="A20" s="5">
        <v>16</v>
      </c>
      <c r="B20" s="9">
        <v>2020</v>
      </c>
      <c r="C20" s="9" t="s">
        <v>4</v>
      </c>
      <c r="D20" s="9" t="s">
        <v>5</v>
      </c>
      <c r="E20" s="7" t="s">
        <v>6</v>
      </c>
      <c r="F20" s="5" t="s">
        <v>69</v>
      </c>
      <c r="G20" s="7" t="s">
        <v>8</v>
      </c>
      <c r="H20" s="7" t="s">
        <v>9</v>
      </c>
      <c r="I20" s="9" t="s">
        <v>45</v>
      </c>
      <c r="J20" s="9">
        <v>0.8</v>
      </c>
      <c r="K20" s="5">
        <v>3642</v>
      </c>
      <c r="L20" s="5">
        <v>6165</v>
      </c>
      <c r="M20" s="5">
        <f t="shared" si="10"/>
        <v>5089.2924710424713</v>
      </c>
      <c r="N20" s="5">
        <f t="shared" si="11"/>
        <v>9575.8784071042355</v>
      </c>
      <c r="O20">
        <f t="shared" si="12"/>
        <v>8833.0024131274149</v>
      </c>
      <c r="P20">
        <f t="shared" si="13"/>
        <v>2324.278957528958</v>
      </c>
      <c r="Q20">
        <f t="shared" si="14"/>
        <v>551.19691119691106</v>
      </c>
      <c r="R20">
        <f t="shared" si="15"/>
        <v>528</v>
      </c>
      <c r="S20">
        <f t="shared" si="16"/>
        <v>6128.0000000000073</v>
      </c>
      <c r="T20" s="5">
        <v>327263</v>
      </c>
      <c r="U20" s="5">
        <v>47021</v>
      </c>
      <c r="V20" s="5">
        <v>71932</v>
      </c>
      <c r="W20" s="9">
        <f t="shared" si="2"/>
        <v>446216</v>
      </c>
      <c r="Y20" s="2">
        <f t="shared" si="9"/>
        <v>39194.649159999994</v>
      </c>
      <c r="Z20">
        <v>264</v>
      </c>
      <c r="AA20">
        <v>264</v>
      </c>
      <c r="AB20">
        <v>1044.3875482625483</v>
      </c>
      <c r="AC20">
        <v>1279.8914092664095</v>
      </c>
      <c r="AD20">
        <v>262.58532818532814</v>
      </c>
      <c r="AE20">
        <v>288.61158301158298</v>
      </c>
      <c r="AF20">
        <v>2437.6267374517374</v>
      </c>
      <c r="AG20">
        <v>2651.6657335907339</v>
      </c>
      <c r="AH20">
        <v>4585.7845847104145</v>
      </c>
      <c r="AI20">
        <v>4990.0938223938219</v>
      </c>
      <c r="AJ20">
        <v>2768.1489562904067</v>
      </c>
      <c r="AK20">
        <v>3359.8510437096011</v>
      </c>
      <c r="AL20">
        <v>4136.1677123552126</v>
      </c>
      <c r="AM20">
        <v>4696.8347007722014</v>
      </c>
      <c r="AO20" s="9">
        <f t="shared" si="3"/>
        <v>1</v>
      </c>
      <c r="AP20" s="9">
        <f t="shared" si="4"/>
        <v>1.1013234062292743</v>
      </c>
      <c r="AQ20" s="9">
        <f t="shared" si="5"/>
        <v>1.0472177080414684</v>
      </c>
      <c r="AR20" s="9">
        <f t="shared" si="6"/>
        <v>1.0420567293699183</v>
      </c>
      <c r="AS20" s="9">
        <f t="shared" si="7"/>
        <v>1.0422216344542821</v>
      </c>
      <c r="AT20" s="9">
        <f t="shared" si="8"/>
        <v>1.0965571291480409</v>
      </c>
      <c r="AU20" s="9">
        <f t="shared" si="1"/>
        <v>1.0634741124471716</v>
      </c>
    </row>
    <row r="21" spans="1:47" ht="15.75">
      <c r="A21" s="5">
        <v>17</v>
      </c>
      <c r="B21" s="9">
        <v>2020</v>
      </c>
      <c r="C21" s="9" t="s">
        <v>4</v>
      </c>
      <c r="D21" s="9" t="s">
        <v>5</v>
      </c>
      <c r="E21" s="7" t="s">
        <v>6</v>
      </c>
      <c r="F21" s="5" t="s">
        <v>70</v>
      </c>
      <c r="G21" s="7" t="s">
        <v>8</v>
      </c>
      <c r="H21" s="7" t="s">
        <v>9</v>
      </c>
      <c r="I21" s="9" t="s">
        <v>45</v>
      </c>
      <c r="J21" s="9">
        <v>0.8</v>
      </c>
      <c r="K21" s="5">
        <v>3595</v>
      </c>
      <c r="L21" s="5">
        <v>6165</v>
      </c>
      <c r="M21" s="5">
        <f t="shared" si="10"/>
        <v>5089.2924710424713</v>
      </c>
      <c r="N21" s="5">
        <f t="shared" si="11"/>
        <v>9489.5718146718136</v>
      </c>
      <c r="O21">
        <f t="shared" si="12"/>
        <v>8802.2045654053982</v>
      </c>
      <c r="P21">
        <f t="shared" si="13"/>
        <v>2324.278957528958</v>
      </c>
      <c r="Q21">
        <f t="shared" si="14"/>
        <v>672</v>
      </c>
      <c r="R21">
        <f t="shared" si="15"/>
        <v>524.30135135135129</v>
      </c>
      <c r="S21">
        <f t="shared" si="16"/>
        <v>6128.0000000000055</v>
      </c>
      <c r="T21" s="5">
        <v>326933</v>
      </c>
      <c r="U21" s="5">
        <v>47021</v>
      </c>
      <c r="V21" s="5">
        <v>71932</v>
      </c>
      <c r="W21" s="9">
        <f t="shared" si="2"/>
        <v>445886</v>
      </c>
      <c r="Y21" s="2">
        <f t="shared" si="9"/>
        <v>39194.649160000001</v>
      </c>
      <c r="Z21">
        <v>260.30135135135134</v>
      </c>
      <c r="AA21">
        <v>264</v>
      </c>
      <c r="AB21">
        <v>1044.3875482625483</v>
      </c>
      <c r="AC21">
        <v>1279.8914092664095</v>
      </c>
      <c r="AD21">
        <v>335.7</v>
      </c>
      <c r="AE21">
        <v>336.3</v>
      </c>
      <c r="AF21">
        <v>2437.6267374517374</v>
      </c>
      <c r="AG21">
        <v>2651.6657335907339</v>
      </c>
      <c r="AH21">
        <v>4499.4779922779917</v>
      </c>
      <c r="AI21">
        <v>4990.0938223938219</v>
      </c>
      <c r="AJ21">
        <v>2768.1489562904057</v>
      </c>
      <c r="AK21">
        <v>3359.8510437095997</v>
      </c>
      <c r="AL21">
        <v>4105.3698646331968</v>
      </c>
      <c r="AM21">
        <v>4696.8347007722014</v>
      </c>
      <c r="AO21" s="9">
        <f t="shared" si="3"/>
        <v>1.0070544327973134</v>
      </c>
      <c r="AP21" s="9">
        <f t="shared" si="4"/>
        <v>1.1013234062292743</v>
      </c>
      <c r="AQ21" s="9">
        <f t="shared" si="5"/>
        <v>1.0008928571428573</v>
      </c>
      <c r="AR21" s="9">
        <f t="shared" si="6"/>
        <v>1.0420567293699183</v>
      </c>
      <c r="AS21" s="9">
        <f t="shared" si="7"/>
        <v>1.0517005234479906</v>
      </c>
      <c r="AT21" s="9">
        <f t="shared" si="8"/>
        <v>1.0965571291480407</v>
      </c>
      <c r="AU21" s="9">
        <f t="shared" si="1"/>
        <v>1.0671950795671792</v>
      </c>
    </row>
    <row r="22" spans="1:47" ht="15.75">
      <c r="A22" s="5">
        <v>18</v>
      </c>
      <c r="B22" s="9">
        <v>2020</v>
      </c>
      <c r="C22" s="9" t="s">
        <v>4</v>
      </c>
      <c r="D22" s="9" t="s">
        <v>39</v>
      </c>
      <c r="E22" s="7" t="s">
        <v>6</v>
      </c>
      <c r="F22" s="5" t="s">
        <v>48</v>
      </c>
      <c r="G22" s="7" t="s">
        <v>8</v>
      </c>
      <c r="H22" s="7" t="s">
        <v>9</v>
      </c>
      <c r="I22" s="9" t="s">
        <v>45</v>
      </c>
      <c r="J22" s="9">
        <v>0.8</v>
      </c>
      <c r="K22" s="5">
        <v>2972</v>
      </c>
      <c r="L22" s="5">
        <v>14299</v>
      </c>
      <c r="M22" s="5">
        <f t="shared" si="10"/>
        <v>6124.0000000000055</v>
      </c>
      <c r="N22" s="5">
        <f t="shared" si="11"/>
        <v>8026.0247734138975</v>
      </c>
      <c r="O22">
        <f t="shared" si="12"/>
        <v>6602.1914652567975</v>
      </c>
      <c r="P22">
        <f t="shared" si="13"/>
        <v>1397.6418995037734</v>
      </c>
      <c r="Q22">
        <f t="shared" si="14"/>
        <v>447.64229607250752</v>
      </c>
      <c r="R22">
        <f t="shared" si="15"/>
        <v>502.17545317220538</v>
      </c>
      <c r="S22">
        <f t="shared" si="16"/>
        <v>5536.2979125808151</v>
      </c>
      <c r="T22" s="5">
        <v>332973</v>
      </c>
      <c r="U22" s="5">
        <v>89477</v>
      </c>
      <c r="V22" s="5">
        <v>35475</v>
      </c>
      <c r="W22" s="9">
        <f t="shared" si="2"/>
        <v>457925</v>
      </c>
      <c r="Y22" s="2">
        <f t="shared" si="9"/>
        <v>42934.973800000007</v>
      </c>
      <c r="Z22">
        <v>248.17934290030209</v>
      </c>
      <c r="AA22">
        <v>253.99611027190329</v>
      </c>
      <c r="AB22">
        <v>601.48376132930514</v>
      </c>
      <c r="AC22">
        <v>796.15813817446815</v>
      </c>
      <c r="AD22">
        <v>213.63867069486403</v>
      </c>
      <c r="AE22">
        <v>234.00362537764349</v>
      </c>
      <c r="AF22">
        <v>2755.8000000000056</v>
      </c>
      <c r="AG22">
        <v>3368.2000000000003</v>
      </c>
      <c r="AH22">
        <v>3859.4540785498489</v>
      </c>
      <c r="AI22">
        <v>4166.5706948640482</v>
      </c>
      <c r="AJ22">
        <v>2768.1489562904089</v>
      </c>
      <c r="AK22">
        <v>2768.1489562904062</v>
      </c>
      <c r="AL22">
        <v>3081.7411253776436</v>
      </c>
      <c r="AM22">
        <v>3520.4503398791539</v>
      </c>
      <c r="AO22" s="9">
        <f t="shared" si="3"/>
        <v>1.0115831375963462</v>
      </c>
      <c r="AP22" s="9">
        <f t="shared" si="4"/>
        <v>1.139287736661502</v>
      </c>
      <c r="AQ22" s="9">
        <f t="shared" si="5"/>
        <v>1.0454938124959505</v>
      </c>
      <c r="AR22" s="9">
        <f t="shared" si="6"/>
        <v>1.0999999999999992</v>
      </c>
      <c r="AS22" s="9">
        <f t="shared" si="7"/>
        <v>1.038265096979456</v>
      </c>
      <c r="AT22" s="9">
        <f t="shared" si="8"/>
        <v>0.99999999999999956</v>
      </c>
      <c r="AU22" s="9">
        <f t="shared" si="1"/>
        <v>1.0664490293579281</v>
      </c>
    </row>
    <row r="23" spans="1:47" ht="15.75">
      <c r="A23" s="5">
        <v>19</v>
      </c>
      <c r="B23" s="9">
        <v>2020</v>
      </c>
      <c r="C23" s="9" t="s">
        <v>4</v>
      </c>
      <c r="D23" s="9" t="s">
        <v>39</v>
      </c>
      <c r="E23" s="7" t="s">
        <v>6</v>
      </c>
      <c r="F23" s="5" t="s">
        <v>59</v>
      </c>
      <c r="G23" s="7" t="s">
        <v>8</v>
      </c>
      <c r="H23" s="7" t="s">
        <v>9</v>
      </c>
      <c r="I23" s="9" t="s">
        <v>45</v>
      </c>
      <c r="J23" s="9">
        <v>0.8</v>
      </c>
      <c r="K23" s="5">
        <v>2751</v>
      </c>
      <c r="L23" s="5">
        <v>14299</v>
      </c>
      <c r="M23" s="5">
        <f t="shared" si="10"/>
        <v>3902.7016616314199</v>
      </c>
      <c r="N23" s="5">
        <f t="shared" si="11"/>
        <v>11503.999999999967</v>
      </c>
      <c r="O23">
        <f t="shared" si="12"/>
        <v>5730.7597242772244</v>
      </c>
      <c r="P23">
        <f t="shared" si="13"/>
        <v>1064.7601963746224</v>
      </c>
      <c r="Q23">
        <f t="shared" si="14"/>
        <v>406.91238670694861</v>
      </c>
      <c r="R23">
        <f t="shared" si="15"/>
        <v>490.54191842900298</v>
      </c>
      <c r="S23">
        <f t="shared" si="16"/>
        <v>5536.297912580816</v>
      </c>
      <c r="T23" s="5">
        <v>318592</v>
      </c>
      <c r="U23" s="5">
        <v>89447</v>
      </c>
      <c r="V23" s="5">
        <v>35475</v>
      </c>
      <c r="W23" s="9">
        <f t="shared" si="2"/>
        <v>443514</v>
      </c>
      <c r="Y23" s="2">
        <f t="shared" si="9"/>
        <v>42934.973799999992</v>
      </c>
      <c r="Z23">
        <v>242.36257552870089</v>
      </c>
      <c r="AA23">
        <v>248.17934290030209</v>
      </c>
      <c r="AB23">
        <v>417.20732628398792</v>
      </c>
      <c r="AC23">
        <v>647.55287009063443</v>
      </c>
      <c r="AD23">
        <v>193.27371601208458</v>
      </c>
      <c r="AE23">
        <v>213.63867069486403</v>
      </c>
      <c r="AF23">
        <v>1867.6104984894259</v>
      </c>
      <c r="AG23">
        <v>2035.091163141994</v>
      </c>
      <c r="AH23">
        <v>5176.7999999999674</v>
      </c>
      <c r="AI23">
        <v>6327.2000000000007</v>
      </c>
      <c r="AJ23">
        <v>2768.1489562904085</v>
      </c>
      <c r="AK23">
        <v>2768.1489562904071</v>
      </c>
      <c r="AL23">
        <v>2643.0319108761328</v>
      </c>
      <c r="AM23">
        <v>3087.7278134010917</v>
      </c>
      <c r="AO23" s="9">
        <f t="shared" si="3"/>
        <v>1.0118578395710398</v>
      </c>
      <c r="AP23" s="9">
        <f t="shared" si="4"/>
        <v>1.2163356073892926</v>
      </c>
      <c r="AQ23" s="9">
        <f t="shared" si="5"/>
        <v>1.0500475172249941</v>
      </c>
      <c r="AR23" s="9">
        <f t="shared" si="6"/>
        <v>1.0429140321688226</v>
      </c>
      <c r="AS23" s="9">
        <f t="shared" si="7"/>
        <v>1.1000000000000032</v>
      </c>
      <c r="AT23" s="9">
        <f t="shared" si="8"/>
        <v>0.99999999999999967</v>
      </c>
      <c r="AU23" s="9">
        <f t="shared" si="1"/>
        <v>1.0775980714461109</v>
      </c>
    </row>
    <row r="24" spans="1:47" ht="15.75">
      <c r="A24" s="5">
        <v>20</v>
      </c>
      <c r="B24" s="9">
        <v>2020</v>
      </c>
      <c r="C24" s="9" t="s">
        <v>4</v>
      </c>
      <c r="D24" s="9" t="s">
        <v>39</v>
      </c>
      <c r="E24" s="7" t="s">
        <v>6</v>
      </c>
      <c r="F24" s="5" t="s">
        <v>60</v>
      </c>
      <c r="G24" s="7" t="s">
        <v>8</v>
      </c>
      <c r="H24" s="7" t="s">
        <v>9</v>
      </c>
      <c r="I24" s="9" t="s">
        <v>45</v>
      </c>
      <c r="J24" s="9">
        <v>0.8</v>
      </c>
      <c r="K24" s="5">
        <v>3015</v>
      </c>
      <c r="L24" s="5">
        <v>14299</v>
      </c>
      <c r="M24" s="5">
        <f t="shared" si="10"/>
        <v>3567.7403323262843</v>
      </c>
      <c r="N24" s="5">
        <f t="shared" si="11"/>
        <v>6797.5583081570994</v>
      </c>
      <c r="O24">
        <f t="shared" si="12"/>
        <v>11209.999999999982</v>
      </c>
      <c r="P24">
        <f t="shared" si="13"/>
        <v>679.28638590862693</v>
      </c>
      <c r="Q24">
        <f t="shared" si="14"/>
        <v>366.1824773413897</v>
      </c>
      <c r="R24">
        <f t="shared" si="15"/>
        <v>478.90838368580057</v>
      </c>
      <c r="S24">
        <f t="shared" si="16"/>
        <v>5536.2979125808197</v>
      </c>
      <c r="T24" s="5">
        <v>320978</v>
      </c>
      <c r="U24" s="5">
        <v>89448</v>
      </c>
      <c r="V24" s="5">
        <v>35475</v>
      </c>
      <c r="W24" s="9">
        <f t="shared" si="2"/>
        <v>445901</v>
      </c>
      <c r="Y24" s="2">
        <f t="shared" si="9"/>
        <v>42934.9738</v>
      </c>
      <c r="Z24">
        <v>238</v>
      </c>
      <c r="AA24">
        <v>240.9083836858006</v>
      </c>
      <c r="AB24">
        <v>279</v>
      </c>
      <c r="AC24">
        <v>400.28638590862687</v>
      </c>
      <c r="AD24">
        <v>178</v>
      </c>
      <c r="AE24">
        <v>188.18247734138973</v>
      </c>
      <c r="AF24">
        <v>1742</v>
      </c>
      <c r="AG24">
        <v>1825.740332326284</v>
      </c>
      <c r="AH24">
        <v>3322</v>
      </c>
      <c r="AI24">
        <v>3475.5583081570994</v>
      </c>
      <c r="AJ24">
        <v>2768.1489562904062</v>
      </c>
      <c r="AK24">
        <v>2768.148956290413</v>
      </c>
      <c r="AL24">
        <v>5044.9999999999827</v>
      </c>
      <c r="AM24">
        <v>6165</v>
      </c>
      <c r="AO24" s="9">
        <f t="shared" si="3"/>
        <v>1.0060729437714515</v>
      </c>
      <c r="AP24" s="9">
        <f t="shared" si="4"/>
        <v>1.1785497080828313</v>
      </c>
      <c r="AQ24" s="9">
        <f t="shared" si="5"/>
        <v>1.0278071124957098</v>
      </c>
      <c r="AR24" s="9">
        <f t="shared" si="6"/>
        <v>1.0234715322658257</v>
      </c>
      <c r="AS24" s="9">
        <f t="shared" si="7"/>
        <v>1.0225902156621192</v>
      </c>
      <c r="AT24" s="9">
        <f t="shared" si="8"/>
        <v>1.0000000000000011</v>
      </c>
      <c r="AU24" s="9">
        <f t="shared" si="1"/>
        <v>1.0999107939339894</v>
      </c>
    </row>
    <row r="25" spans="1:47" ht="15.75">
      <c r="A25" s="5">
        <f>A24+1</f>
        <v>21</v>
      </c>
      <c r="B25" s="9">
        <v>2020</v>
      </c>
      <c r="C25" s="9" t="s">
        <v>4</v>
      </c>
      <c r="D25" s="9" t="s">
        <v>39</v>
      </c>
      <c r="E25" s="7" t="s">
        <v>6</v>
      </c>
      <c r="F25" s="5" t="s">
        <v>68</v>
      </c>
      <c r="G25" s="7" t="s">
        <v>8</v>
      </c>
      <c r="H25" s="7" t="s">
        <v>9</v>
      </c>
      <c r="I25" s="9" t="s">
        <v>45</v>
      </c>
      <c r="J25" s="9">
        <v>0.8</v>
      </c>
      <c r="K25" s="5">
        <v>3158</v>
      </c>
      <c r="L25" s="5">
        <v>14299</v>
      </c>
      <c r="M25" s="5">
        <f t="shared" si="10"/>
        <v>4237.6629909365565</v>
      </c>
      <c r="N25" s="5">
        <f t="shared" si="11"/>
        <v>8026.0247734138975</v>
      </c>
      <c r="O25">
        <f t="shared" si="12"/>
        <v>6666.1703738240267</v>
      </c>
      <c r="P25">
        <f t="shared" si="13"/>
        <v>3219.9999999999964</v>
      </c>
      <c r="Q25">
        <f t="shared" si="14"/>
        <v>447.64229607250752</v>
      </c>
      <c r="R25">
        <f t="shared" si="15"/>
        <v>502.17545317220538</v>
      </c>
      <c r="S25">
        <f t="shared" si="16"/>
        <v>5536.2979125808179</v>
      </c>
      <c r="T25" s="5">
        <v>341426</v>
      </c>
      <c r="U25" s="5">
        <v>89448</v>
      </c>
      <c r="V25" s="5">
        <v>35475</v>
      </c>
      <c r="W25" s="9">
        <f t="shared" si="2"/>
        <v>466349</v>
      </c>
      <c r="Y25" s="2">
        <f t="shared" si="9"/>
        <v>42934.973800000007</v>
      </c>
      <c r="Z25">
        <v>248.17934290030209</v>
      </c>
      <c r="AA25">
        <v>253.99611027190329</v>
      </c>
      <c r="AB25">
        <v>1509.0499999999961</v>
      </c>
      <c r="AC25">
        <v>1710.95</v>
      </c>
      <c r="AD25">
        <v>213.63867069486403</v>
      </c>
      <c r="AE25">
        <v>234.00362537764349</v>
      </c>
      <c r="AF25">
        <v>2035.091163141994</v>
      </c>
      <c r="AG25">
        <v>2202.5718277945621</v>
      </c>
      <c r="AH25">
        <v>3859.4540785498489</v>
      </c>
      <c r="AI25">
        <v>4166.5706948640482</v>
      </c>
      <c r="AJ25">
        <v>2768.148956290408</v>
      </c>
      <c r="AK25">
        <v>2768.1489562904098</v>
      </c>
      <c r="AL25">
        <v>3081.7411253776436</v>
      </c>
      <c r="AM25">
        <v>3584.4292484463831</v>
      </c>
      <c r="AO25" s="9">
        <f t="shared" si="3"/>
        <v>1.0115831375963462</v>
      </c>
      <c r="AP25" s="9">
        <f t="shared" si="4"/>
        <v>1.0627018633540386</v>
      </c>
      <c r="AQ25" s="9">
        <f t="shared" si="5"/>
        <v>1.0454938124959505</v>
      </c>
      <c r="AR25" s="9">
        <f t="shared" si="6"/>
        <v>1.0395219405155087</v>
      </c>
      <c r="AS25" s="9">
        <f t="shared" si="7"/>
        <v>1.038265096979456</v>
      </c>
      <c r="AT25" s="9">
        <f t="shared" si="8"/>
        <v>1.0000000000000002</v>
      </c>
      <c r="AU25" s="9">
        <f t="shared" si="1"/>
        <v>1.0754088321898641</v>
      </c>
    </row>
    <row r="26" spans="1:47" ht="15.75">
      <c r="A26" s="5">
        <f>A25+1</f>
        <v>22</v>
      </c>
      <c r="B26" s="9">
        <v>2020</v>
      </c>
      <c r="C26" s="9" t="s">
        <v>4</v>
      </c>
      <c r="D26" s="9" t="s">
        <v>39</v>
      </c>
      <c r="E26" s="7" t="s">
        <v>6</v>
      </c>
      <c r="F26" s="5" t="s">
        <v>69</v>
      </c>
      <c r="G26" s="7" t="s">
        <v>8</v>
      </c>
      <c r="H26" s="7" t="s">
        <v>9</v>
      </c>
      <c r="I26" s="9" t="s">
        <v>45</v>
      </c>
      <c r="J26" s="9">
        <v>0.8</v>
      </c>
      <c r="K26" s="5">
        <v>2825</v>
      </c>
      <c r="L26" s="5">
        <v>14299</v>
      </c>
      <c r="M26" s="5">
        <f t="shared" si="10"/>
        <v>4405.1436555891232</v>
      </c>
      <c r="N26" s="5">
        <f t="shared" si="11"/>
        <v>8333.1413897280963</v>
      </c>
      <c r="O26">
        <f t="shared" si="12"/>
        <v>7095.6050024169135</v>
      </c>
      <c r="P26">
        <f t="shared" si="13"/>
        <v>1617.5895015105741</v>
      </c>
      <c r="Q26">
        <f t="shared" si="14"/>
        <v>468.00725075528698</v>
      </c>
      <c r="R26">
        <f t="shared" si="15"/>
        <v>528</v>
      </c>
      <c r="S26">
        <f t="shared" si="16"/>
        <v>6128.0000000000073</v>
      </c>
      <c r="T26" s="5">
        <v>338884</v>
      </c>
      <c r="U26" s="5">
        <v>89447</v>
      </c>
      <c r="V26" s="5">
        <v>35475</v>
      </c>
      <c r="W26" s="9">
        <f t="shared" si="2"/>
        <v>463806</v>
      </c>
      <c r="Y26" s="2">
        <f t="shared" si="9"/>
        <v>42874.486800000006</v>
      </c>
      <c r="Z26">
        <v>264</v>
      </c>
      <c r="AA26">
        <v>264</v>
      </c>
      <c r="AB26">
        <v>693.62197885196383</v>
      </c>
      <c r="AC26">
        <v>923.96752265861028</v>
      </c>
      <c r="AD26">
        <v>223.82114803625376</v>
      </c>
      <c r="AE26">
        <v>244.18610271903322</v>
      </c>
      <c r="AF26">
        <v>2118.8314954682778</v>
      </c>
      <c r="AG26">
        <v>2286.3121601208459</v>
      </c>
      <c r="AH26">
        <v>4013.0123867069483</v>
      </c>
      <c r="AI26">
        <v>4320.1290030211476</v>
      </c>
      <c r="AJ26">
        <v>2768.1489562904062</v>
      </c>
      <c r="AK26">
        <v>3359.8510437096011</v>
      </c>
      <c r="AL26">
        <v>3301.0957326283988</v>
      </c>
      <c r="AM26">
        <v>3794.5092697885148</v>
      </c>
      <c r="AO26" s="9">
        <f t="shared" si="3"/>
        <v>1</v>
      </c>
      <c r="AP26" s="9">
        <f t="shared" si="4"/>
        <v>1.1424004938159773</v>
      </c>
      <c r="AQ26" s="9">
        <f t="shared" si="5"/>
        <v>1.0435141862650925</v>
      </c>
      <c r="AR26" s="9">
        <f t="shared" si="6"/>
        <v>1.0380193423295228</v>
      </c>
      <c r="AS26" s="9">
        <f t="shared" si="7"/>
        <v>1.0368548428438726</v>
      </c>
      <c r="AT26" s="9">
        <f t="shared" si="8"/>
        <v>1.0965571291480409</v>
      </c>
      <c r="AU26" s="9">
        <f t="shared" si="1"/>
        <v>1.0695379093103476</v>
      </c>
    </row>
    <row r="27" spans="1:47" ht="15.75">
      <c r="A27" s="5">
        <f>A26+1</f>
        <v>23</v>
      </c>
      <c r="B27" s="9">
        <v>2020</v>
      </c>
      <c r="C27" s="9" t="s">
        <v>4</v>
      </c>
      <c r="D27" s="9" t="s">
        <v>39</v>
      </c>
      <c r="E27" s="7" t="s">
        <v>6</v>
      </c>
      <c r="F27" s="5" t="s">
        <v>70</v>
      </c>
      <c r="G27" s="7" t="s">
        <v>8</v>
      </c>
      <c r="H27" s="7" t="s">
        <v>9</v>
      </c>
      <c r="I27" s="9" t="s">
        <v>45</v>
      </c>
      <c r="J27" s="9">
        <v>0.8</v>
      </c>
      <c r="K27" s="5">
        <v>2924</v>
      </c>
      <c r="L27" s="5">
        <v>14299</v>
      </c>
      <c r="M27" s="5">
        <f t="shared" si="10"/>
        <v>4405.1436555891232</v>
      </c>
      <c r="N27" s="5">
        <f t="shared" si="11"/>
        <v>8333.1413897280963</v>
      </c>
      <c r="O27">
        <f t="shared" si="12"/>
        <v>7040.9006797583079</v>
      </c>
      <c r="P27">
        <f t="shared" si="13"/>
        <v>1571.5203927492448</v>
      </c>
      <c r="Q27">
        <f t="shared" si="14"/>
        <v>672.00000000000068</v>
      </c>
      <c r="R27">
        <f t="shared" si="15"/>
        <v>507.99222054380658</v>
      </c>
      <c r="S27">
        <f t="shared" si="16"/>
        <v>6081.0806616314239</v>
      </c>
      <c r="T27" s="5">
        <v>339303</v>
      </c>
      <c r="U27" s="5">
        <v>89448</v>
      </c>
      <c r="V27" s="5">
        <v>35475</v>
      </c>
      <c r="W27" s="9">
        <f t="shared" si="2"/>
        <v>464226</v>
      </c>
      <c r="Y27" s="2">
        <f t="shared" si="9"/>
        <v>42910.779000000002</v>
      </c>
      <c r="Z27">
        <v>251.08772658610269</v>
      </c>
      <c r="AA27">
        <v>256.90449395770389</v>
      </c>
      <c r="AB27">
        <v>693.62197885196383</v>
      </c>
      <c r="AC27">
        <v>877.89841389728099</v>
      </c>
      <c r="AD27">
        <v>335.70000000000067</v>
      </c>
      <c r="AE27">
        <v>336.3</v>
      </c>
      <c r="AF27">
        <v>2118.8314954682778</v>
      </c>
      <c r="AG27">
        <v>2286.3121601208459</v>
      </c>
      <c r="AH27">
        <v>4013.0123867069483</v>
      </c>
      <c r="AI27">
        <v>4320.1290030211476</v>
      </c>
      <c r="AJ27">
        <v>2768.1489562904076</v>
      </c>
      <c r="AK27">
        <v>3312.9317053410164</v>
      </c>
      <c r="AL27">
        <v>3301.0957326283988</v>
      </c>
      <c r="AM27">
        <v>3739.8049471299091</v>
      </c>
      <c r="AO27" s="9">
        <f t="shared" si="3"/>
        <v>1.0114505048234288</v>
      </c>
      <c r="AP27" s="9">
        <f t="shared" si="4"/>
        <v>1.1172599705963349</v>
      </c>
      <c r="AQ27" s="9">
        <f t="shared" si="5"/>
        <v>1.0008928571428561</v>
      </c>
      <c r="AR27" s="9">
        <f t="shared" si="6"/>
        <v>1.0380193423295228</v>
      </c>
      <c r="AS27" s="9">
        <f t="shared" si="7"/>
        <v>1.0368548428438726</v>
      </c>
      <c r="AT27" s="9">
        <f t="shared" si="8"/>
        <v>1.0895865026898781</v>
      </c>
      <c r="AU27" s="9">
        <f t="shared" si="1"/>
        <v>1.0623086781727717</v>
      </c>
    </row>
    <row r="28" spans="1:47" ht="15.75">
      <c r="A28" s="5">
        <f>A27+1</f>
        <v>24</v>
      </c>
      <c r="B28" s="9">
        <v>2020</v>
      </c>
      <c r="C28" s="9" t="s">
        <v>4</v>
      </c>
      <c r="D28" s="9" t="s">
        <v>39</v>
      </c>
      <c r="E28" s="7" t="s">
        <v>6</v>
      </c>
      <c r="F28" s="7" t="s">
        <v>7</v>
      </c>
      <c r="G28" s="7" t="s">
        <v>8</v>
      </c>
      <c r="H28" s="7" t="s">
        <v>9</v>
      </c>
      <c r="I28" s="9" t="s">
        <v>47</v>
      </c>
      <c r="J28" s="9">
        <v>0.8</v>
      </c>
      <c r="K28" s="5">
        <v>2250</v>
      </c>
      <c r="L28" s="5">
        <v>14299</v>
      </c>
      <c r="M28" s="5">
        <f t="shared" si="10"/>
        <v>4405.1436555891241</v>
      </c>
      <c r="N28" s="5">
        <f t="shared" si="11"/>
        <v>8333.1413897280963</v>
      </c>
      <c r="O28">
        <f t="shared" si="12"/>
        <v>7115.6127818731056</v>
      </c>
      <c r="P28">
        <f t="shared" si="13"/>
        <v>1617.5895015105741</v>
      </c>
      <c r="Q28">
        <f t="shared" si="14"/>
        <v>468.00725075528698</v>
      </c>
      <c r="R28">
        <f t="shared" si="15"/>
        <v>507.99222054380664</v>
      </c>
      <c r="S28">
        <f t="shared" si="16"/>
        <v>6128.0000000000073</v>
      </c>
      <c r="T28" s="5">
        <v>340919</v>
      </c>
      <c r="U28" s="5">
        <v>89447</v>
      </c>
      <c r="V28" s="5">
        <v>35475</v>
      </c>
      <c r="W28" s="9">
        <f t="shared" si="2"/>
        <v>465841</v>
      </c>
      <c r="Y28" s="2">
        <f t="shared" si="9"/>
        <v>42874.486799999999</v>
      </c>
      <c r="Z28">
        <v>248.17934290030209</v>
      </c>
      <c r="AA28">
        <v>259.81287764350452</v>
      </c>
      <c r="AB28">
        <v>601.48376132930514</v>
      </c>
      <c r="AC28">
        <v>1016.105740181269</v>
      </c>
      <c r="AD28">
        <v>213.63867069486403</v>
      </c>
      <c r="AE28">
        <v>254.36858006042294</v>
      </c>
      <c r="AF28">
        <v>2035.091163141994</v>
      </c>
      <c r="AG28">
        <v>2370.0524924471301</v>
      </c>
      <c r="AH28">
        <v>3859.4540785498489</v>
      </c>
      <c r="AI28">
        <v>4473.687311178247</v>
      </c>
      <c r="AJ28">
        <v>2768.1489562904076</v>
      </c>
      <c r="AK28">
        <v>3359.8510437096002</v>
      </c>
      <c r="AL28">
        <v>3081.7411253776436</v>
      </c>
      <c r="AM28">
        <v>4033.871656495462</v>
      </c>
      <c r="AO28" s="9">
        <f t="shared" si="3"/>
        <v>1.0229010096468578</v>
      </c>
      <c r="AP28" s="9">
        <f t="shared" si="4"/>
        <v>1.2563208888687594</v>
      </c>
      <c r="AQ28" s="9">
        <f t="shared" si="5"/>
        <v>1.0870283725301852</v>
      </c>
      <c r="AR28" s="9">
        <f t="shared" si="6"/>
        <v>1.0760386846590455</v>
      </c>
      <c r="AS28" s="9">
        <f t="shared" si="7"/>
        <v>1.0737096856877451</v>
      </c>
      <c r="AT28" s="9">
        <f t="shared" si="8"/>
        <v>1.0965571291480405</v>
      </c>
      <c r="AU28" s="9">
        <f t="shared" si="1"/>
        <v>1.1338086487144654</v>
      </c>
    </row>
    <row r="29" spans="1:47" ht="15.75">
      <c r="A29" s="5">
        <f>A28+1</f>
        <v>25</v>
      </c>
      <c r="B29" s="9">
        <v>2020</v>
      </c>
      <c r="C29" s="9" t="s">
        <v>4</v>
      </c>
      <c r="D29" s="9" t="s">
        <v>5</v>
      </c>
      <c r="E29" s="7" t="s">
        <v>6</v>
      </c>
      <c r="F29" s="7" t="s">
        <v>7</v>
      </c>
      <c r="G29" s="7" t="s">
        <v>8</v>
      </c>
      <c r="H29" s="7" t="s">
        <v>9</v>
      </c>
      <c r="I29" s="9" t="s">
        <v>47</v>
      </c>
      <c r="J29" s="9">
        <v>0.8</v>
      </c>
      <c r="K29" s="5">
        <v>2928</v>
      </c>
      <c r="L29" s="5">
        <v>6165</v>
      </c>
      <c r="M29" s="5">
        <f t="shared" si="10"/>
        <v>5089.2924710424713</v>
      </c>
      <c r="N29" s="5">
        <f t="shared" si="11"/>
        <v>9583.2939476447827</v>
      </c>
      <c r="O29">
        <f t="shared" si="12"/>
        <v>8833.0024131274131</v>
      </c>
      <c r="P29">
        <f t="shared" si="13"/>
        <v>2324.278957528958</v>
      </c>
      <c r="Q29">
        <f t="shared" si="14"/>
        <v>551.19691119691106</v>
      </c>
      <c r="R29">
        <f t="shared" si="15"/>
        <v>520.58445945945937</v>
      </c>
      <c r="S29">
        <f t="shared" si="16"/>
        <v>6128.0000000000027</v>
      </c>
      <c r="T29" s="5">
        <v>329040</v>
      </c>
      <c r="U29" s="5">
        <v>47021</v>
      </c>
      <c r="V29" s="5">
        <v>71932</v>
      </c>
      <c r="W29" s="9">
        <f t="shared" si="2"/>
        <v>447993</v>
      </c>
      <c r="Y29" s="2">
        <f t="shared" si="9"/>
        <v>39194.649159999994</v>
      </c>
      <c r="Z29">
        <v>256.58445945945942</v>
      </c>
      <c r="AA29">
        <v>264</v>
      </c>
      <c r="AB29">
        <v>926.63561776061783</v>
      </c>
      <c r="AC29">
        <v>1397.64333976834</v>
      </c>
      <c r="AD29">
        <v>249.57220077220074</v>
      </c>
      <c r="AE29">
        <v>301.62471042471037</v>
      </c>
      <c r="AF29">
        <v>2330.6072393822396</v>
      </c>
      <c r="AG29">
        <v>2758.6852316602317</v>
      </c>
      <c r="AH29">
        <v>4396.9537932046287</v>
      </c>
      <c r="AI29">
        <v>5186.340154440154</v>
      </c>
      <c r="AJ29">
        <v>2768.1489562904062</v>
      </c>
      <c r="AK29">
        <v>3359.8510437095965</v>
      </c>
      <c r="AL29">
        <v>3855.8342181467183</v>
      </c>
      <c r="AM29">
        <v>4977.1681949806953</v>
      </c>
      <c r="AO29" s="9">
        <f t="shared" si="3"/>
        <v>1.0142446444679514</v>
      </c>
      <c r="AP29" s="9">
        <f t="shared" si="4"/>
        <v>1.2026468124585488</v>
      </c>
      <c r="AQ29" s="9">
        <f t="shared" si="5"/>
        <v>1.0944354160829364</v>
      </c>
      <c r="AR29" s="9">
        <f t="shared" si="6"/>
        <v>1.0841134587398367</v>
      </c>
      <c r="AS29" s="9">
        <f t="shared" si="7"/>
        <v>1.0823710892672271</v>
      </c>
      <c r="AT29" s="9">
        <f t="shared" si="8"/>
        <v>1.09655712914804</v>
      </c>
      <c r="AU29" s="9">
        <f t="shared" si="1"/>
        <v>1.1269482248943434</v>
      </c>
    </row>
    <row r="30" spans="1:47" ht="15.75">
      <c r="A30" s="5">
        <f t="shared" ref="A30:A41" si="17">A29+1</f>
        <v>26</v>
      </c>
      <c r="B30" s="9">
        <v>2020</v>
      </c>
      <c r="C30" s="9" t="s">
        <v>4</v>
      </c>
      <c r="D30" s="9" t="s">
        <v>5</v>
      </c>
      <c r="E30" s="7" t="s">
        <v>6</v>
      </c>
      <c r="F30" s="5" t="s">
        <v>48</v>
      </c>
      <c r="G30" s="7" t="s">
        <v>8</v>
      </c>
      <c r="H30" s="7" t="s">
        <v>9</v>
      </c>
      <c r="I30" s="9" t="s">
        <v>47</v>
      </c>
      <c r="J30" s="9">
        <v>0.8</v>
      </c>
      <c r="K30" s="5">
        <v>2688</v>
      </c>
      <c r="L30" s="5">
        <v>6165</v>
      </c>
      <c r="M30" s="5">
        <f t="shared" si="10"/>
        <v>6123.9999999999991</v>
      </c>
      <c r="N30" s="5">
        <f t="shared" si="11"/>
        <v>9293.3254826254815</v>
      </c>
      <c r="O30">
        <f t="shared" si="12"/>
        <v>8412.1389109652464</v>
      </c>
      <c r="P30">
        <f t="shared" si="13"/>
        <v>2088.7750965250971</v>
      </c>
      <c r="Q30">
        <f t="shared" si="14"/>
        <v>525.17065637065639</v>
      </c>
      <c r="R30">
        <f t="shared" si="15"/>
        <v>518.72601351351352</v>
      </c>
      <c r="S30">
        <f t="shared" si="16"/>
        <v>6128.0000000000073</v>
      </c>
      <c r="T30" s="5">
        <v>314625</v>
      </c>
      <c r="U30" s="5">
        <v>47021</v>
      </c>
      <c r="V30" s="5">
        <v>71932</v>
      </c>
      <c r="W30" s="9">
        <f t="shared" si="2"/>
        <v>433578</v>
      </c>
      <c r="Y30" s="2">
        <f t="shared" si="9"/>
        <v>39255.136160000002</v>
      </c>
      <c r="Z30">
        <v>254.72601351351349</v>
      </c>
      <c r="AA30">
        <v>264</v>
      </c>
      <c r="AB30">
        <v>808.88368725868736</v>
      </c>
      <c r="AC30">
        <v>1279.8914092664095</v>
      </c>
      <c r="AD30">
        <v>236.55907335907335</v>
      </c>
      <c r="AE30">
        <v>288.61158301158298</v>
      </c>
      <c r="AF30">
        <v>2755.7999999999988</v>
      </c>
      <c r="AG30">
        <v>3368.2000000000003</v>
      </c>
      <c r="AH30">
        <v>4205.1084942084935</v>
      </c>
      <c r="AI30">
        <v>5088.216988416988</v>
      </c>
      <c r="AJ30">
        <v>2768.1489562904053</v>
      </c>
      <c r="AK30">
        <v>3359.851043709602</v>
      </c>
      <c r="AL30">
        <v>3575.5007239382239</v>
      </c>
      <c r="AM30">
        <v>4836.6381870270225</v>
      </c>
      <c r="AO30" s="9">
        <f t="shared" si="3"/>
        <v>1.0178783909904008</v>
      </c>
      <c r="AP30" s="9">
        <f t="shared" si="4"/>
        <v>1.2254947039493596</v>
      </c>
      <c r="AQ30" s="9">
        <f t="shared" si="5"/>
        <v>1.0991154189996706</v>
      </c>
      <c r="AR30" s="9">
        <f t="shared" si="6"/>
        <v>1.1000000000000003</v>
      </c>
      <c r="AS30" s="9">
        <f t="shared" si="7"/>
        <v>1.0950261018899561</v>
      </c>
      <c r="AT30" s="9">
        <f t="shared" si="8"/>
        <v>1.0965571291480412</v>
      </c>
      <c r="AU30" s="9">
        <f t="shared" si="1"/>
        <v>1.1499187634009351</v>
      </c>
    </row>
    <row r="31" spans="1:47" ht="15.75">
      <c r="A31" s="5">
        <f t="shared" si="17"/>
        <v>27</v>
      </c>
      <c r="B31" s="9">
        <v>2020</v>
      </c>
      <c r="C31" s="9" t="s">
        <v>4</v>
      </c>
      <c r="D31" s="9" t="s">
        <v>5</v>
      </c>
      <c r="E31" s="7" t="s">
        <v>6</v>
      </c>
      <c r="F31" s="5" t="s">
        <v>59</v>
      </c>
      <c r="G31" s="7" t="s">
        <v>8</v>
      </c>
      <c r="H31" s="7" t="s">
        <v>9</v>
      </c>
      <c r="I31" s="9" t="s">
        <v>47</v>
      </c>
      <c r="J31" s="9">
        <v>0.8</v>
      </c>
      <c r="K31" s="5">
        <v>2606</v>
      </c>
      <c r="L31" s="5">
        <v>6165</v>
      </c>
      <c r="M31" s="5">
        <f t="shared" si="10"/>
        <v>4714.7242277992282</v>
      </c>
      <c r="N31" s="5">
        <f t="shared" si="11"/>
        <v>11504.000000000002</v>
      </c>
      <c r="O31">
        <f t="shared" si="12"/>
        <v>7851.835183397684</v>
      </c>
      <c r="P31">
        <f t="shared" si="13"/>
        <v>1877.4232256370578</v>
      </c>
      <c r="Q31">
        <f t="shared" si="14"/>
        <v>499.14440154440149</v>
      </c>
      <c r="R31">
        <f t="shared" si="15"/>
        <v>515.0091216216216</v>
      </c>
      <c r="S31">
        <f t="shared" si="16"/>
        <v>6128.0000000000027</v>
      </c>
      <c r="T31" s="5">
        <v>302059</v>
      </c>
      <c r="U31" s="5">
        <v>47021</v>
      </c>
      <c r="V31" s="5">
        <v>71932</v>
      </c>
      <c r="W31" s="9">
        <f t="shared" si="2"/>
        <v>421012</v>
      </c>
      <c r="Y31" s="2">
        <f t="shared" si="9"/>
        <v>39255.136159999995</v>
      </c>
      <c r="Z31">
        <v>251.0091216216216</v>
      </c>
      <c r="AA31">
        <v>264</v>
      </c>
      <c r="AB31">
        <v>691.13175675675677</v>
      </c>
      <c r="AC31">
        <v>1186.291468880301</v>
      </c>
      <c r="AD31">
        <v>223.54594594594593</v>
      </c>
      <c r="AE31">
        <v>275.59845559845559</v>
      </c>
      <c r="AF31">
        <v>2116.5682432432432</v>
      </c>
      <c r="AG31">
        <v>2598.1559845559846</v>
      </c>
      <c r="AH31">
        <v>5176.8000000000011</v>
      </c>
      <c r="AI31">
        <v>6327.2000000000007</v>
      </c>
      <c r="AJ31">
        <v>2768.1489562904053</v>
      </c>
      <c r="AK31">
        <v>3359.8510437095974</v>
      </c>
      <c r="AL31">
        <v>3295.16722972973</v>
      </c>
      <c r="AM31">
        <v>4556.667953667954</v>
      </c>
      <c r="AO31" s="9">
        <f t="shared" si="3"/>
        <v>1.0252245597854146</v>
      </c>
      <c r="AP31" s="9">
        <f t="shared" si="4"/>
        <v>1.2637443200669491</v>
      </c>
      <c r="AQ31" s="9">
        <f t="shared" si="5"/>
        <v>1.1042834688548127</v>
      </c>
      <c r="AR31" s="9">
        <f t="shared" si="6"/>
        <v>1.1021454740604288</v>
      </c>
      <c r="AS31" s="9">
        <f t="shared" si="7"/>
        <v>1.0999999999999999</v>
      </c>
      <c r="AT31" s="9">
        <f t="shared" si="8"/>
        <v>1.0965571291480405</v>
      </c>
      <c r="AU31" s="9">
        <f t="shared" si="1"/>
        <v>1.1606631691156233</v>
      </c>
    </row>
    <row r="32" spans="1:47" ht="15.75">
      <c r="A32" s="5">
        <f t="shared" si="17"/>
        <v>28</v>
      </c>
      <c r="B32" s="9">
        <v>2020</v>
      </c>
      <c r="C32" s="9" t="s">
        <v>4</v>
      </c>
      <c r="D32" s="9" t="s">
        <v>5</v>
      </c>
      <c r="E32" s="7" t="s">
        <v>6</v>
      </c>
      <c r="F32" s="5" t="s">
        <v>60</v>
      </c>
      <c r="G32" s="7" t="s">
        <v>8</v>
      </c>
      <c r="H32" s="7" t="s">
        <v>9</v>
      </c>
      <c r="I32" s="9" t="s">
        <v>47</v>
      </c>
      <c r="J32" s="9">
        <v>0.8</v>
      </c>
      <c r="K32" s="5">
        <v>2826</v>
      </c>
      <c r="L32" s="5">
        <v>6165</v>
      </c>
      <c r="M32" s="5">
        <f t="shared" si="10"/>
        <v>4500.6852316602317</v>
      </c>
      <c r="N32" s="5">
        <f t="shared" si="11"/>
        <v>8535.4004746718092</v>
      </c>
      <c r="O32">
        <f t="shared" si="12"/>
        <v>11210</v>
      </c>
      <c r="P32">
        <f t="shared" si="13"/>
        <v>1725.1335135135137</v>
      </c>
      <c r="Q32">
        <f t="shared" si="14"/>
        <v>479.62471042471043</v>
      </c>
      <c r="R32">
        <f t="shared" si="15"/>
        <v>511.29222972972968</v>
      </c>
      <c r="S32">
        <f t="shared" si="16"/>
        <v>6128.0000000000073</v>
      </c>
      <c r="T32" s="5">
        <v>302693</v>
      </c>
      <c r="U32" s="5">
        <v>47021</v>
      </c>
      <c r="V32" s="5">
        <v>71932</v>
      </c>
      <c r="W32" s="9">
        <f t="shared" si="2"/>
        <v>421646</v>
      </c>
      <c r="Y32" s="2">
        <f t="shared" si="9"/>
        <v>39255.136159999995</v>
      </c>
      <c r="Z32">
        <v>247.29222972972971</v>
      </c>
      <c r="AA32">
        <v>264</v>
      </c>
      <c r="AB32">
        <v>621.87</v>
      </c>
      <c r="AC32">
        <v>1103.2635135135135</v>
      </c>
      <c r="AD32">
        <v>210.53281853281854</v>
      </c>
      <c r="AE32">
        <v>269.09189189189186</v>
      </c>
      <c r="AF32">
        <v>2009.5487451737451</v>
      </c>
      <c r="AG32">
        <v>2491.1364864864868</v>
      </c>
      <c r="AH32">
        <v>3839.6761503474845</v>
      </c>
      <c r="AI32">
        <v>4695.7243243243238</v>
      </c>
      <c r="AJ32">
        <v>2768.1489562904044</v>
      </c>
      <c r="AK32">
        <v>3359.8510437096029</v>
      </c>
      <c r="AL32">
        <v>5045</v>
      </c>
      <c r="AM32">
        <v>6165</v>
      </c>
      <c r="AO32" s="9">
        <f t="shared" si="3"/>
        <v>1.0326775360523317</v>
      </c>
      <c r="AP32" s="9">
        <f t="shared" si="4"/>
        <v>1.2790471054805941</v>
      </c>
      <c r="AQ32" s="9">
        <f t="shared" si="5"/>
        <v>1.1220935287241953</v>
      </c>
      <c r="AR32" s="9">
        <f t="shared" si="6"/>
        <v>1.107003204295425</v>
      </c>
      <c r="AS32" s="9">
        <f t="shared" si="7"/>
        <v>1.1002938498922341</v>
      </c>
      <c r="AT32" s="9">
        <f t="shared" si="8"/>
        <v>1.0965571291480414</v>
      </c>
      <c r="AU32" s="9">
        <f t="shared" si="1"/>
        <v>1.0999107939339876</v>
      </c>
    </row>
    <row r="33" spans="1:47" ht="15.75">
      <c r="A33" s="5">
        <f t="shared" si="17"/>
        <v>29</v>
      </c>
      <c r="B33" s="9">
        <v>2020</v>
      </c>
      <c r="C33" s="9" t="s">
        <v>4</v>
      </c>
      <c r="D33" s="9" t="s">
        <v>5</v>
      </c>
      <c r="E33" s="7" t="s">
        <v>6</v>
      </c>
      <c r="F33" s="5" t="s">
        <v>68</v>
      </c>
      <c r="G33" s="7" t="s">
        <v>8</v>
      </c>
      <c r="H33" s="7" t="s">
        <v>9</v>
      </c>
      <c r="I33" s="9" t="s">
        <v>47</v>
      </c>
      <c r="J33" s="9">
        <v>0.8</v>
      </c>
      <c r="K33" s="5">
        <v>2913</v>
      </c>
      <c r="L33" s="5">
        <v>6165</v>
      </c>
      <c r="M33" s="5">
        <f t="shared" si="10"/>
        <v>4928.7632239382237</v>
      </c>
      <c r="N33" s="5">
        <f t="shared" si="11"/>
        <v>9312.0401111567116</v>
      </c>
      <c r="O33">
        <f t="shared" si="12"/>
        <v>8450.9295913143214</v>
      </c>
      <c r="P33">
        <f t="shared" si="13"/>
        <v>3220.0000000000009</v>
      </c>
      <c r="Q33">
        <f t="shared" si="14"/>
        <v>531.67722007722</v>
      </c>
      <c r="R33">
        <f t="shared" si="15"/>
        <v>518.72601351351352</v>
      </c>
      <c r="S33">
        <f t="shared" si="16"/>
        <v>6128.0000000000082</v>
      </c>
      <c r="T33" s="5">
        <v>321294</v>
      </c>
      <c r="U33" s="5">
        <v>47021</v>
      </c>
      <c r="V33" s="5">
        <v>71932</v>
      </c>
      <c r="W33" s="9">
        <f t="shared" si="2"/>
        <v>440247</v>
      </c>
      <c r="Y33" s="2">
        <f t="shared" si="9"/>
        <v>39255.136159999995</v>
      </c>
      <c r="Z33">
        <v>254.72601351351349</v>
      </c>
      <c r="AA33">
        <v>264</v>
      </c>
      <c r="AB33">
        <v>1509.0500000000009</v>
      </c>
      <c r="AC33">
        <v>1710.95</v>
      </c>
      <c r="AD33">
        <v>236.55907335907335</v>
      </c>
      <c r="AE33">
        <v>295.1181467181467</v>
      </c>
      <c r="AF33">
        <v>2223.5877413127414</v>
      </c>
      <c r="AG33">
        <v>2705.1754826254828</v>
      </c>
      <c r="AH33">
        <v>4223.8231227397246</v>
      </c>
      <c r="AI33">
        <v>5088.216988416988</v>
      </c>
      <c r="AJ33">
        <v>2768.148956290408</v>
      </c>
      <c r="AK33">
        <v>3359.8510437096002</v>
      </c>
      <c r="AL33">
        <v>3613.9281434378731</v>
      </c>
      <c r="AM33">
        <v>4837.0014478764479</v>
      </c>
      <c r="AO33" s="9">
        <f t="shared" si="3"/>
        <v>1.0178783909904008</v>
      </c>
      <c r="AP33" s="9">
        <f t="shared" si="4"/>
        <v>1.062701863354037</v>
      </c>
      <c r="AQ33" s="9">
        <f t="shared" si="5"/>
        <v>1.110140271480069</v>
      </c>
      <c r="AR33" s="9">
        <f t="shared" si="6"/>
        <v>1.0977096523877929</v>
      </c>
      <c r="AS33" s="9">
        <f t="shared" si="7"/>
        <v>1.0928254018839156</v>
      </c>
      <c r="AT33" s="9">
        <f t="shared" si="8"/>
        <v>1.0965571291480403</v>
      </c>
      <c r="AU33" s="9">
        <f t="shared" si="1"/>
        <v>1.1447264814152069</v>
      </c>
    </row>
    <row r="34" spans="1:47" ht="15.75">
      <c r="A34" s="5">
        <f t="shared" si="17"/>
        <v>30</v>
      </c>
      <c r="B34" s="9">
        <v>2020</v>
      </c>
      <c r="C34" s="9" t="s">
        <v>4</v>
      </c>
      <c r="D34" s="9" t="s">
        <v>5</v>
      </c>
      <c r="E34" s="7" t="s">
        <v>6</v>
      </c>
      <c r="F34" s="5" t="s">
        <v>69</v>
      </c>
      <c r="G34" s="7" t="s">
        <v>8</v>
      </c>
      <c r="H34" s="7" t="s">
        <v>9</v>
      </c>
      <c r="I34" s="9" t="s">
        <v>47</v>
      </c>
      <c r="J34" s="9">
        <v>0.8</v>
      </c>
      <c r="K34" s="5">
        <v>2928</v>
      </c>
      <c r="L34" s="5">
        <v>6165</v>
      </c>
      <c r="M34" s="5">
        <f t="shared" si="10"/>
        <v>5089.2924710424713</v>
      </c>
      <c r="N34" s="5">
        <f t="shared" si="11"/>
        <v>9575.878407104241</v>
      </c>
      <c r="O34">
        <f t="shared" si="12"/>
        <v>8833.0024131274131</v>
      </c>
      <c r="P34">
        <f t="shared" si="13"/>
        <v>2324.278957528958</v>
      </c>
      <c r="Q34">
        <f t="shared" si="14"/>
        <v>551.19691119691106</v>
      </c>
      <c r="R34">
        <f t="shared" si="15"/>
        <v>528</v>
      </c>
      <c r="S34">
        <f t="shared" si="16"/>
        <v>6128.0000000000027</v>
      </c>
      <c r="T34" s="5">
        <v>327802</v>
      </c>
      <c r="U34" s="5">
        <v>47021</v>
      </c>
      <c r="V34" s="5">
        <v>71932</v>
      </c>
      <c r="W34" s="9">
        <f t="shared" si="2"/>
        <v>446755</v>
      </c>
      <c r="Y34" s="2">
        <f t="shared" si="9"/>
        <v>39194.649159999986</v>
      </c>
      <c r="Z34">
        <v>264</v>
      </c>
      <c r="AA34">
        <v>264</v>
      </c>
      <c r="AB34">
        <v>926.63561776061783</v>
      </c>
      <c r="AC34">
        <v>1397.64333976834</v>
      </c>
      <c r="AD34">
        <v>249.57220077220074</v>
      </c>
      <c r="AE34">
        <v>301.62471042471037</v>
      </c>
      <c r="AF34">
        <v>2330.6072393822396</v>
      </c>
      <c r="AG34">
        <v>2758.6852316602317</v>
      </c>
      <c r="AH34">
        <v>4389.5382526640869</v>
      </c>
      <c r="AI34">
        <v>5186.340154440154</v>
      </c>
      <c r="AJ34">
        <v>2768.1489562904039</v>
      </c>
      <c r="AK34">
        <v>3359.8510437095988</v>
      </c>
      <c r="AL34">
        <v>3855.8342181467183</v>
      </c>
      <c r="AM34">
        <v>4977.1681949806953</v>
      </c>
      <c r="AO34" s="9">
        <f t="shared" si="3"/>
        <v>1</v>
      </c>
      <c r="AP34" s="9">
        <f t="shared" si="4"/>
        <v>1.2026468124585488</v>
      </c>
      <c r="AQ34" s="9">
        <f t="shared" si="5"/>
        <v>1.0944354160829364</v>
      </c>
      <c r="AR34" s="9">
        <f t="shared" si="6"/>
        <v>1.0841134587398367</v>
      </c>
      <c r="AS34" s="9">
        <f t="shared" si="7"/>
        <v>1.0832092752122802</v>
      </c>
      <c r="AT34" s="9">
        <f t="shared" si="8"/>
        <v>1.0965571291480409</v>
      </c>
      <c r="AU34" s="9">
        <f t="shared" si="1"/>
        <v>1.1269482248943434</v>
      </c>
    </row>
    <row r="35" spans="1:47" ht="15.75">
      <c r="A35" s="5">
        <f t="shared" si="17"/>
        <v>31</v>
      </c>
      <c r="B35" s="9">
        <v>2020</v>
      </c>
      <c r="C35" s="9" t="s">
        <v>4</v>
      </c>
      <c r="D35" s="9" t="s">
        <v>5</v>
      </c>
      <c r="E35" s="7" t="s">
        <v>6</v>
      </c>
      <c r="F35" s="5" t="s">
        <v>70</v>
      </c>
      <c r="G35" s="7" t="s">
        <v>8</v>
      </c>
      <c r="H35" s="7" t="s">
        <v>9</v>
      </c>
      <c r="I35" s="9" t="s">
        <v>47</v>
      </c>
      <c r="J35" s="9">
        <v>0.8</v>
      </c>
      <c r="K35" s="5">
        <v>2893</v>
      </c>
      <c r="L35" s="5">
        <v>6165</v>
      </c>
      <c r="M35" s="5">
        <f t="shared" si="10"/>
        <v>5062.2115152123506</v>
      </c>
      <c r="N35" s="5">
        <f t="shared" si="11"/>
        <v>9489.5718146718136</v>
      </c>
      <c r="O35">
        <f t="shared" si="12"/>
        <v>8833.0024131274131</v>
      </c>
      <c r="P35">
        <f t="shared" si="13"/>
        <v>2324.278957528958</v>
      </c>
      <c r="Q35">
        <f t="shared" si="14"/>
        <v>672</v>
      </c>
      <c r="R35">
        <f t="shared" si="15"/>
        <v>520.58445945945937</v>
      </c>
      <c r="S35">
        <f t="shared" si="16"/>
        <v>6128.0000000000018</v>
      </c>
      <c r="T35" s="5">
        <v>327491</v>
      </c>
      <c r="U35" s="5">
        <v>47021</v>
      </c>
      <c r="V35" s="5">
        <v>71932</v>
      </c>
      <c r="W35" s="9">
        <f t="shared" si="2"/>
        <v>446444</v>
      </c>
      <c r="Y35" s="2">
        <f t="shared" si="9"/>
        <v>39194.649159999994</v>
      </c>
      <c r="Z35">
        <v>256.58445945945942</v>
      </c>
      <c r="AA35">
        <v>264</v>
      </c>
      <c r="AB35">
        <v>926.63561776061783</v>
      </c>
      <c r="AC35">
        <v>1397.64333976834</v>
      </c>
      <c r="AD35">
        <v>335.7</v>
      </c>
      <c r="AE35">
        <v>336.3</v>
      </c>
      <c r="AF35">
        <v>2303.5262835521189</v>
      </c>
      <c r="AG35">
        <v>2758.6852316602317</v>
      </c>
      <c r="AH35">
        <v>4303.2316602316596</v>
      </c>
      <c r="AI35">
        <v>5186.340154440154</v>
      </c>
      <c r="AJ35">
        <v>2768.1489562904067</v>
      </c>
      <c r="AK35">
        <v>3359.8510437095952</v>
      </c>
      <c r="AL35">
        <v>3855.8342181467183</v>
      </c>
      <c r="AM35">
        <v>4977.1681949806953</v>
      </c>
      <c r="AO35" s="9">
        <f t="shared" si="3"/>
        <v>1.0142446444679514</v>
      </c>
      <c r="AP35" s="9">
        <f t="shared" si="4"/>
        <v>1.2026468124585488</v>
      </c>
      <c r="AQ35" s="9">
        <f t="shared" si="5"/>
        <v>1.0008928571428573</v>
      </c>
      <c r="AR35" s="9">
        <f t="shared" si="6"/>
        <v>1.089913064031466</v>
      </c>
      <c r="AS35" s="9">
        <f t="shared" si="7"/>
        <v>1.0930609422063831</v>
      </c>
      <c r="AT35" s="9">
        <f t="shared" si="8"/>
        <v>1.0965571291480398</v>
      </c>
      <c r="AU35" s="9">
        <f t="shared" si="1"/>
        <v>1.1269482248943434</v>
      </c>
    </row>
    <row r="36" spans="1:47" ht="15.75">
      <c r="A36" s="5">
        <f t="shared" si="17"/>
        <v>32</v>
      </c>
      <c r="B36" s="9">
        <v>2020</v>
      </c>
      <c r="C36" s="9" t="s">
        <v>4</v>
      </c>
      <c r="D36" s="9" t="s">
        <v>39</v>
      </c>
      <c r="E36" s="7" t="s">
        <v>6</v>
      </c>
      <c r="F36" s="5" t="s">
        <v>48</v>
      </c>
      <c r="G36" s="7" t="s">
        <v>8</v>
      </c>
      <c r="H36" s="7" t="s">
        <v>9</v>
      </c>
      <c r="I36" s="9" t="s">
        <v>47</v>
      </c>
      <c r="J36" s="9">
        <v>0.8</v>
      </c>
      <c r="K36" s="5">
        <v>2493</v>
      </c>
      <c r="L36" s="5">
        <v>14299</v>
      </c>
      <c r="M36" s="5">
        <f t="shared" si="10"/>
        <v>6123.9999999999991</v>
      </c>
      <c r="N36" s="5">
        <f t="shared" si="11"/>
        <v>8026.0247734138966</v>
      </c>
      <c r="O36">
        <f t="shared" si="12"/>
        <v>6602.1914652567975</v>
      </c>
      <c r="P36">
        <f t="shared" si="13"/>
        <v>1387.2439577039277</v>
      </c>
      <c r="Q36">
        <f t="shared" si="14"/>
        <v>447.64229607250752</v>
      </c>
      <c r="R36">
        <f t="shared" si="15"/>
        <v>502.17545317220538</v>
      </c>
      <c r="S36">
        <f t="shared" si="16"/>
        <v>5546.6958543806668</v>
      </c>
      <c r="T36" s="5">
        <v>333161</v>
      </c>
      <c r="U36" s="5">
        <v>89448</v>
      </c>
      <c r="V36" s="5">
        <v>35475</v>
      </c>
      <c r="W36" s="9">
        <f t="shared" si="2"/>
        <v>458084</v>
      </c>
      <c r="Y36" s="2">
        <f t="shared" si="9"/>
        <v>42934.9738</v>
      </c>
      <c r="Z36">
        <v>245.27095921450149</v>
      </c>
      <c r="AA36">
        <v>256.90449395770389</v>
      </c>
      <c r="AB36">
        <v>509.34554380664656</v>
      </c>
      <c r="AC36">
        <v>877.89841389728099</v>
      </c>
      <c r="AD36">
        <v>203.4561933534743</v>
      </c>
      <c r="AE36">
        <v>244.18610271903322</v>
      </c>
      <c r="AF36">
        <v>2755.7999999999988</v>
      </c>
      <c r="AG36">
        <v>3368.2000000000003</v>
      </c>
      <c r="AH36">
        <v>3705.895770392749</v>
      </c>
      <c r="AI36">
        <v>4320.1290030211476</v>
      </c>
      <c r="AJ36">
        <v>2768.1489562904089</v>
      </c>
      <c r="AK36">
        <v>2778.5468980902579</v>
      </c>
      <c r="AL36">
        <v>2862.3865181268884</v>
      </c>
      <c r="AM36">
        <v>3739.8049471299091</v>
      </c>
      <c r="AO36" s="9">
        <f t="shared" si="3"/>
        <v>1.0231662751926927</v>
      </c>
      <c r="AP36" s="9">
        <f t="shared" si="4"/>
        <v>1.2656727160669261</v>
      </c>
      <c r="AQ36" s="9">
        <f t="shared" si="5"/>
        <v>1.0909876249919013</v>
      </c>
      <c r="AR36" s="9">
        <f t="shared" si="6"/>
        <v>1.1000000000000003</v>
      </c>
      <c r="AS36" s="9">
        <f t="shared" si="7"/>
        <v>1.076530193958912</v>
      </c>
      <c r="AT36" s="9">
        <f t="shared" si="8"/>
        <v>1.0018746190656256</v>
      </c>
      <c r="AU36" s="9">
        <f t="shared" si="1"/>
        <v>1.1328980587158559</v>
      </c>
    </row>
    <row r="37" spans="1:47" ht="15.75">
      <c r="A37" s="5">
        <f t="shared" si="17"/>
        <v>33</v>
      </c>
      <c r="B37" s="9">
        <v>2020</v>
      </c>
      <c r="C37" s="9" t="s">
        <v>4</v>
      </c>
      <c r="D37" s="9" t="s">
        <v>39</v>
      </c>
      <c r="E37" s="7" t="s">
        <v>6</v>
      </c>
      <c r="F37" s="5" t="s">
        <v>59</v>
      </c>
      <c r="G37" s="7" t="s">
        <v>8</v>
      </c>
      <c r="H37" s="7" t="s">
        <v>9</v>
      </c>
      <c r="I37" s="9" t="s">
        <v>47</v>
      </c>
      <c r="J37" s="9">
        <v>0.8</v>
      </c>
      <c r="K37" s="5">
        <v>2343</v>
      </c>
      <c r="L37" s="5">
        <v>14299</v>
      </c>
      <c r="M37" s="5">
        <f t="shared" si="10"/>
        <v>3902.7016616314195</v>
      </c>
      <c r="N37" s="5">
        <f t="shared" si="11"/>
        <v>11503.999999999985</v>
      </c>
      <c r="O37">
        <f t="shared" si="12"/>
        <v>5776.8288330385367</v>
      </c>
      <c r="P37">
        <f t="shared" si="13"/>
        <v>1018.6910876132931</v>
      </c>
      <c r="Q37">
        <f t="shared" si="14"/>
        <v>406.91238670694861</v>
      </c>
      <c r="R37">
        <f t="shared" si="15"/>
        <v>490.54191842900298</v>
      </c>
      <c r="S37">
        <f t="shared" si="16"/>
        <v>5536.2979125808133</v>
      </c>
      <c r="T37" s="5">
        <v>318911</v>
      </c>
      <c r="U37" s="5">
        <v>89448</v>
      </c>
      <c r="V37" s="5">
        <v>35475</v>
      </c>
      <c r="W37" s="9">
        <f t="shared" si="2"/>
        <v>443834</v>
      </c>
      <c r="Y37" s="2">
        <f t="shared" si="9"/>
        <v>42934.9738</v>
      </c>
      <c r="Z37">
        <v>239.45419184290029</v>
      </c>
      <c r="AA37">
        <v>251.08772658610269</v>
      </c>
      <c r="AB37">
        <v>325.06910876132929</v>
      </c>
      <c r="AC37">
        <v>693.62197885196383</v>
      </c>
      <c r="AD37">
        <v>183.09123867069485</v>
      </c>
      <c r="AE37">
        <v>223.82114803625376</v>
      </c>
      <c r="AF37">
        <v>1783.8701661631419</v>
      </c>
      <c r="AG37">
        <v>2118.8314954682778</v>
      </c>
      <c r="AH37">
        <v>5176.7999999999847</v>
      </c>
      <c r="AI37">
        <v>6327.2000000000007</v>
      </c>
      <c r="AJ37">
        <v>2768.148956290408</v>
      </c>
      <c r="AK37">
        <v>2768.1489562904053</v>
      </c>
      <c r="AL37">
        <v>2423.6773036253776</v>
      </c>
      <c r="AM37">
        <v>3353.1515294131591</v>
      </c>
      <c r="AO37" s="9">
        <f t="shared" si="3"/>
        <v>1.0237156791420796</v>
      </c>
      <c r="AP37" s="9">
        <f t="shared" si="4"/>
        <v>1.3617906100995962</v>
      </c>
      <c r="AQ37" s="9">
        <f t="shared" si="5"/>
        <v>1.100095034449988</v>
      </c>
      <c r="AR37" s="9">
        <f t="shared" si="6"/>
        <v>1.0858280643376452</v>
      </c>
      <c r="AS37" s="9">
        <f t="shared" si="7"/>
        <v>1.1000000000000014</v>
      </c>
      <c r="AT37" s="9">
        <f t="shared" si="8"/>
        <v>0.99999999999999956</v>
      </c>
      <c r="AU37" s="9">
        <f t="shared" si="1"/>
        <v>1.160896964866257</v>
      </c>
    </row>
    <row r="38" spans="1:47" ht="15.75">
      <c r="A38" s="5">
        <f t="shared" si="17"/>
        <v>34</v>
      </c>
      <c r="B38" s="9">
        <v>2020</v>
      </c>
      <c r="C38" s="9" t="s">
        <v>4</v>
      </c>
      <c r="D38" s="9" t="s">
        <v>39</v>
      </c>
      <c r="E38" s="7" t="s">
        <v>6</v>
      </c>
      <c r="F38" s="5" t="s">
        <v>60</v>
      </c>
      <c r="G38" s="7" t="s">
        <v>8</v>
      </c>
      <c r="H38" s="7" t="s">
        <v>9</v>
      </c>
      <c r="I38" s="9" t="s">
        <v>47</v>
      </c>
      <c r="J38" s="9">
        <v>0.8</v>
      </c>
      <c r="K38" s="5">
        <v>2873</v>
      </c>
      <c r="L38" s="5">
        <v>14299</v>
      </c>
      <c r="M38" s="5">
        <f t="shared" si="10"/>
        <v>3609.6104984894259</v>
      </c>
      <c r="N38" s="5">
        <f t="shared" si="11"/>
        <v>6874.3374622356496</v>
      </c>
      <c r="O38">
        <f t="shared" si="12"/>
        <v>11067.884308869336</v>
      </c>
      <c r="P38">
        <f t="shared" si="13"/>
        <v>696.20732628398787</v>
      </c>
      <c r="Q38">
        <f t="shared" si="14"/>
        <v>371.27371601208461</v>
      </c>
      <c r="R38">
        <f t="shared" si="15"/>
        <v>480.36257552870086</v>
      </c>
      <c r="S38">
        <f t="shared" si="16"/>
        <v>5536.2979125808142</v>
      </c>
      <c r="T38" s="5">
        <v>321101</v>
      </c>
      <c r="U38" s="5">
        <v>89447</v>
      </c>
      <c r="V38" s="5">
        <v>35475</v>
      </c>
      <c r="W38" s="9">
        <f t="shared" si="2"/>
        <v>446023</v>
      </c>
      <c r="Y38" s="2">
        <f t="shared" si="9"/>
        <v>42934.973799999992</v>
      </c>
      <c r="Z38">
        <v>238</v>
      </c>
      <c r="AA38">
        <v>242.36257552870089</v>
      </c>
      <c r="AB38">
        <v>279</v>
      </c>
      <c r="AC38">
        <v>417.20732628398792</v>
      </c>
      <c r="AD38">
        <v>178</v>
      </c>
      <c r="AE38">
        <v>193.27371601208458</v>
      </c>
      <c r="AF38">
        <v>1742</v>
      </c>
      <c r="AG38">
        <v>1867.6104984894259</v>
      </c>
      <c r="AH38">
        <v>3322</v>
      </c>
      <c r="AI38">
        <v>3552.3374622356496</v>
      </c>
      <c r="AJ38">
        <v>2768.1489562904067</v>
      </c>
      <c r="AK38">
        <v>2768.1489562904076</v>
      </c>
      <c r="AL38">
        <v>4902.8843088693366</v>
      </c>
      <c r="AM38">
        <v>6165</v>
      </c>
      <c r="AO38" s="9">
        <f t="shared" si="3"/>
        <v>1.0090818389086604</v>
      </c>
      <c r="AP38" s="9">
        <f t="shared" si="4"/>
        <v>1.1985146106141553</v>
      </c>
      <c r="AQ38" s="9">
        <f t="shared" si="5"/>
        <v>1.0411386945893779</v>
      </c>
      <c r="AR38" s="9">
        <f t="shared" si="6"/>
        <v>1.0347989065695571</v>
      </c>
      <c r="AS38" s="9">
        <f t="shared" si="7"/>
        <v>1.0335068598975559</v>
      </c>
      <c r="AT38" s="9">
        <f t="shared" si="8"/>
        <v>1.0000000000000002</v>
      </c>
      <c r="AU38" s="9">
        <f t="shared" si="1"/>
        <v>1.1140340516677842</v>
      </c>
    </row>
    <row r="39" spans="1:47" ht="15.75">
      <c r="A39" s="5">
        <f t="shared" si="17"/>
        <v>35</v>
      </c>
      <c r="B39" s="9">
        <v>2020</v>
      </c>
      <c r="C39" s="9" t="s">
        <v>4</v>
      </c>
      <c r="D39" s="9" t="s">
        <v>39</v>
      </c>
      <c r="E39" s="7" t="s">
        <v>6</v>
      </c>
      <c r="F39" s="5" t="s">
        <v>68</v>
      </c>
      <c r="G39" s="7" t="s">
        <v>8</v>
      </c>
      <c r="H39" s="7" t="s">
        <v>9</v>
      </c>
      <c r="I39" s="9" t="s">
        <v>47</v>
      </c>
      <c r="J39" s="9">
        <v>0.8</v>
      </c>
      <c r="K39" s="5">
        <v>2688</v>
      </c>
      <c r="L39" s="5">
        <v>14299</v>
      </c>
      <c r="M39" s="5">
        <f t="shared" si="10"/>
        <v>4237.6629909365556</v>
      </c>
      <c r="N39" s="5">
        <f t="shared" si="11"/>
        <v>8026.0247734138966</v>
      </c>
      <c r="O39">
        <f t="shared" si="12"/>
        <v>6602.1914652567975</v>
      </c>
      <c r="P39">
        <f t="shared" si="13"/>
        <v>3219.9999999999973</v>
      </c>
      <c r="Q39">
        <f t="shared" si="14"/>
        <v>447.64229607250752</v>
      </c>
      <c r="R39">
        <f t="shared" si="15"/>
        <v>502.17545317220538</v>
      </c>
      <c r="S39">
        <f t="shared" si="16"/>
        <v>5590.3068066980468</v>
      </c>
      <c r="T39" s="5">
        <v>340895</v>
      </c>
      <c r="U39" s="5">
        <v>89448</v>
      </c>
      <c r="V39" s="5">
        <v>35475</v>
      </c>
      <c r="W39" s="9">
        <f t="shared" si="2"/>
        <v>465818</v>
      </c>
      <c r="Y39" s="2">
        <f t="shared" si="9"/>
        <v>42925.003785550012</v>
      </c>
      <c r="Z39">
        <v>245.27095921450149</v>
      </c>
      <c r="AA39">
        <v>256.90449395770389</v>
      </c>
      <c r="AB39">
        <v>1509.049999999997</v>
      </c>
      <c r="AC39">
        <v>1710.95</v>
      </c>
      <c r="AD39">
        <v>203.4561933534743</v>
      </c>
      <c r="AE39">
        <v>244.18610271903322</v>
      </c>
      <c r="AF39">
        <v>1951.35083081571</v>
      </c>
      <c r="AG39">
        <v>2286.3121601208459</v>
      </c>
      <c r="AH39">
        <v>3705.895770392749</v>
      </c>
      <c r="AI39">
        <v>4320.1290030211476</v>
      </c>
      <c r="AJ39">
        <v>2768.1489562904085</v>
      </c>
      <c r="AK39">
        <v>2822.1578504076379</v>
      </c>
      <c r="AL39">
        <v>2862.3865181268884</v>
      </c>
      <c r="AM39">
        <v>3739.8049471299091</v>
      </c>
      <c r="AO39" s="9">
        <f t="shared" si="3"/>
        <v>1.0231662751926927</v>
      </c>
      <c r="AP39" s="9">
        <f t="shared" si="4"/>
        <v>1.0627018633540382</v>
      </c>
      <c r="AQ39" s="9">
        <f t="shared" si="5"/>
        <v>1.0909876249919013</v>
      </c>
      <c r="AR39" s="9">
        <f t="shared" si="6"/>
        <v>1.0790438810310179</v>
      </c>
      <c r="AS39" s="9">
        <f t="shared" si="7"/>
        <v>1.076530193958912</v>
      </c>
      <c r="AT39" s="9">
        <f t="shared" si="8"/>
        <v>1.0096611681585199</v>
      </c>
      <c r="AU39" s="9">
        <f t="shared" si="1"/>
        <v>1.1328980587158559</v>
      </c>
    </row>
    <row r="40" spans="1:47" ht="15.75">
      <c r="A40" s="5">
        <f t="shared" si="17"/>
        <v>36</v>
      </c>
      <c r="B40" s="9">
        <v>2020</v>
      </c>
      <c r="C40" s="9" t="s">
        <v>4</v>
      </c>
      <c r="D40" s="9" t="s">
        <v>39</v>
      </c>
      <c r="E40" s="7" t="s">
        <v>6</v>
      </c>
      <c r="F40" s="5" t="s">
        <v>69</v>
      </c>
      <c r="G40" s="7" t="s">
        <v>8</v>
      </c>
      <c r="H40" s="7" t="s">
        <v>9</v>
      </c>
      <c r="I40" s="9" t="s">
        <v>47</v>
      </c>
      <c r="J40" s="9">
        <v>0.8</v>
      </c>
      <c r="K40" s="5">
        <v>2266</v>
      </c>
      <c r="L40" s="5">
        <v>14299</v>
      </c>
      <c r="M40" s="5">
        <f t="shared" si="10"/>
        <v>4405.1436555891241</v>
      </c>
      <c r="N40" s="5">
        <f t="shared" si="11"/>
        <v>8333.1413897280963</v>
      </c>
      <c r="O40">
        <f t="shared" si="12"/>
        <v>7095.6050024169199</v>
      </c>
      <c r="P40">
        <f t="shared" si="13"/>
        <v>1617.5895015105741</v>
      </c>
      <c r="Q40">
        <f t="shared" si="14"/>
        <v>468.00725075528698</v>
      </c>
      <c r="R40">
        <f t="shared" si="15"/>
        <v>528</v>
      </c>
      <c r="S40">
        <f t="shared" si="16"/>
        <v>6128</v>
      </c>
      <c r="T40" s="5">
        <v>339329</v>
      </c>
      <c r="U40" s="5">
        <v>89448</v>
      </c>
      <c r="V40" s="5">
        <v>35475</v>
      </c>
      <c r="W40" s="9">
        <f t="shared" si="2"/>
        <v>464252</v>
      </c>
      <c r="Y40" s="2">
        <f t="shared" si="9"/>
        <v>42874.486799999999</v>
      </c>
      <c r="Z40">
        <v>264</v>
      </c>
      <c r="AA40">
        <v>264</v>
      </c>
      <c r="AB40">
        <v>601.48376132930514</v>
      </c>
      <c r="AC40">
        <v>1016.105740181269</v>
      </c>
      <c r="AD40">
        <v>213.63867069486403</v>
      </c>
      <c r="AE40">
        <v>254.36858006042294</v>
      </c>
      <c r="AF40">
        <v>2035.091163141994</v>
      </c>
      <c r="AG40">
        <v>2370.0524924471301</v>
      </c>
      <c r="AH40">
        <v>3859.4540785498489</v>
      </c>
      <c r="AI40">
        <v>4473.687311178247</v>
      </c>
      <c r="AJ40">
        <v>2768.1489562904071</v>
      </c>
      <c r="AK40">
        <v>3359.8510437095929</v>
      </c>
      <c r="AL40">
        <v>3081.7411253776436</v>
      </c>
      <c r="AM40">
        <v>4013.8638770392768</v>
      </c>
      <c r="AO40" s="9">
        <f t="shared" si="3"/>
        <v>1</v>
      </c>
      <c r="AP40" s="9">
        <f t="shared" si="4"/>
        <v>1.2563208888687594</v>
      </c>
      <c r="AQ40" s="9">
        <f t="shared" si="5"/>
        <v>1.0870283725301852</v>
      </c>
      <c r="AR40" s="9">
        <f t="shared" si="6"/>
        <v>1.0760386846590455</v>
      </c>
      <c r="AS40" s="9">
        <f t="shared" si="7"/>
        <v>1.0737096856877451</v>
      </c>
      <c r="AT40" s="9">
        <f t="shared" si="8"/>
        <v>1.0965571291480394</v>
      </c>
      <c r="AU40" s="9">
        <f t="shared" si="1"/>
        <v>1.1313662120910242</v>
      </c>
    </row>
    <row r="41" spans="1:47" ht="15.75">
      <c r="A41" s="5">
        <f t="shared" si="17"/>
        <v>37</v>
      </c>
      <c r="B41" s="9">
        <v>2020</v>
      </c>
      <c r="C41" s="9" t="s">
        <v>4</v>
      </c>
      <c r="D41" s="9" t="s">
        <v>39</v>
      </c>
      <c r="E41" s="7" t="s">
        <v>6</v>
      </c>
      <c r="F41" s="5" t="s">
        <v>70</v>
      </c>
      <c r="G41" s="7" t="s">
        <v>8</v>
      </c>
      <c r="H41" s="7" t="s">
        <v>9</v>
      </c>
      <c r="I41" s="9" t="s">
        <v>47</v>
      </c>
      <c r="J41" s="9">
        <v>0.8</v>
      </c>
      <c r="K41" s="5">
        <v>2290</v>
      </c>
      <c r="L41" s="5">
        <v>14299</v>
      </c>
      <c r="M41" s="5">
        <f t="shared" si="10"/>
        <v>4400.1654631419915</v>
      </c>
      <c r="N41" s="5">
        <f t="shared" si="11"/>
        <v>8256.3622356495453</v>
      </c>
      <c r="O41">
        <f t="shared" si="12"/>
        <v>7040.9006797583079</v>
      </c>
      <c r="P41">
        <f t="shared" si="13"/>
        <v>1571.5203927492448</v>
      </c>
      <c r="Q41">
        <f t="shared" si="14"/>
        <v>672.00000000000068</v>
      </c>
      <c r="R41">
        <f t="shared" si="15"/>
        <v>506.53802870090635</v>
      </c>
      <c r="S41">
        <f t="shared" si="16"/>
        <v>6128.0000000000018</v>
      </c>
      <c r="T41" s="5">
        <v>339005</v>
      </c>
      <c r="U41" s="5">
        <v>89447</v>
      </c>
      <c r="V41" s="5">
        <v>35475</v>
      </c>
      <c r="W41" s="9">
        <f t="shared" si="2"/>
        <v>463927</v>
      </c>
      <c r="Y41" s="2">
        <f t="shared" si="9"/>
        <v>42874.486799999991</v>
      </c>
      <c r="Z41">
        <v>246.7251510574018</v>
      </c>
      <c r="AA41">
        <v>259.81287764350452</v>
      </c>
      <c r="AB41">
        <v>601.48376132930514</v>
      </c>
      <c r="AC41">
        <v>970.03663141993968</v>
      </c>
      <c r="AD41">
        <v>335.70000000000067</v>
      </c>
      <c r="AE41">
        <v>336.3</v>
      </c>
      <c r="AF41">
        <v>2030.1129706948616</v>
      </c>
      <c r="AG41">
        <v>2370.0524924471301</v>
      </c>
      <c r="AH41">
        <v>3782.6749244712987</v>
      </c>
      <c r="AI41">
        <v>4473.687311178247</v>
      </c>
      <c r="AJ41">
        <v>2768.1489562904085</v>
      </c>
      <c r="AK41">
        <v>3359.8510437095933</v>
      </c>
      <c r="AL41">
        <v>3081.7411253776436</v>
      </c>
      <c r="AM41">
        <v>3959.1595543806648</v>
      </c>
      <c r="AO41" s="9">
        <f t="shared" si="3"/>
        <v>1.0258375992413997</v>
      </c>
      <c r="AP41" s="9">
        <f t="shared" si="4"/>
        <v>1.2345199411926699</v>
      </c>
      <c r="AQ41" s="9">
        <f t="shared" si="5"/>
        <v>1.0008928571428561</v>
      </c>
      <c r="AR41" s="9">
        <f t="shared" si="6"/>
        <v>1.0772560769815984</v>
      </c>
      <c r="AS41" s="9">
        <f t="shared" si="7"/>
        <v>1.0836945336195736</v>
      </c>
      <c r="AT41" s="9">
        <f t="shared" si="8"/>
        <v>1.0965571291480394</v>
      </c>
      <c r="AU41" s="9">
        <f t="shared" si="1"/>
        <v>1.1246173563455437</v>
      </c>
    </row>
    <row r="48" spans="1:47">
      <c r="K48" t="s">
        <v>2</v>
      </c>
      <c r="L48" t="s">
        <v>3</v>
      </c>
      <c r="M48" t="s">
        <v>12</v>
      </c>
      <c r="N48" t="s">
        <v>13</v>
      </c>
      <c r="O48" t="s">
        <v>14</v>
      </c>
      <c r="P48" t="s">
        <v>15</v>
      </c>
      <c r="Q48" t="s">
        <v>16</v>
      </c>
      <c r="R48" t="s">
        <v>17</v>
      </c>
      <c r="S48" t="s">
        <v>18</v>
      </c>
      <c r="T48" t="s">
        <v>20</v>
      </c>
      <c r="U48" t="s">
        <v>21</v>
      </c>
      <c r="V48" t="s">
        <v>22</v>
      </c>
      <c r="W48" t="s">
        <v>46</v>
      </c>
      <c r="Z48" t="s">
        <v>49</v>
      </c>
      <c r="AA48" t="s">
        <v>50</v>
      </c>
      <c r="AB48" t="s">
        <v>51</v>
      </c>
      <c r="AC48" t="s">
        <v>52</v>
      </c>
      <c r="AD48" t="s">
        <v>53</v>
      </c>
      <c r="AE48" t="s">
        <v>54</v>
      </c>
      <c r="AF48" t="s">
        <v>55</v>
      </c>
      <c r="AG48" t="s">
        <v>56</v>
      </c>
      <c r="AH48" t="s">
        <v>57</v>
      </c>
      <c r="AI48" t="s">
        <v>58</v>
      </c>
      <c r="AJ48" t="s">
        <v>62</v>
      </c>
      <c r="AK48" t="s">
        <v>63</v>
      </c>
      <c r="AL48" t="s">
        <v>66</v>
      </c>
      <c r="AM48" t="s">
        <v>67</v>
      </c>
      <c r="AO48" t="s">
        <v>17</v>
      </c>
      <c r="AP48" t="s">
        <v>15</v>
      </c>
      <c r="AQ48" t="s">
        <v>16</v>
      </c>
      <c r="AR48" t="s">
        <v>12</v>
      </c>
      <c r="AS48" t="s">
        <v>13</v>
      </c>
      <c r="AT48" t="s">
        <v>18</v>
      </c>
      <c r="AU48" t="s">
        <v>14</v>
      </c>
    </row>
    <row r="49" spans="1:47" ht="15.75">
      <c r="A49" s="5">
        <v>10</v>
      </c>
      <c r="B49" s="9">
        <v>2020</v>
      </c>
      <c r="C49" s="9" t="s">
        <v>4</v>
      </c>
      <c r="D49" s="9" t="s">
        <v>39</v>
      </c>
      <c r="E49" s="7" t="s">
        <v>6</v>
      </c>
      <c r="F49" s="7" t="s">
        <v>7</v>
      </c>
      <c r="G49" s="7" t="s">
        <v>8</v>
      </c>
      <c r="H49" s="7" t="s">
        <v>9</v>
      </c>
      <c r="I49" s="9" t="s">
        <v>47</v>
      </c>
      <c r="J49" s="9">
        <v>0.8</v>
      </c>
      <c r="K49" s="5">
        <v>2250</v>
      </c>
      <c r="L49" s="5">
        <v>14299</v>
      </c>
      <c r="M49" s="5">
        <v>4405.1436555891241</v>
      </c>
      <c r="N49" s="5">
        <v>8333.1413897280963</v>
      </c>
      <c r="O49">
        <v>7115.6127818731056</v>
      </c>
      <c r="P49">
        <v>1617.5895015105741</v>
      </c>
      <c r="Q49">
        <v>468.00725075528698</v>
      </c>
      <c r="R49">
        <v>507.99222054380664</v>
      </c>
      <c r="S49">
        <v>6128.0000000000073</v>
      </c>
      <c r="T49" s="5">
        <v>340919</v>
      </c>
      <c r="U49" s="5">
        <v>89447</v>
      </c>
      <c r="V49" s="5">
        <v>35475</v>
      </c>
      <c r="W49" s="9">
        <v>465841</v>
      </c>
      <c r="Y49" s="2">
        <v>42874.486799999999</v>
      </c>
      <c r="Z49">
        <v>248.17934290030209</v>
      </c>
      <c r="AA49">
        <v>259.81287764350452</v>
      </c>
      <c r="AB49">
        <v>601.48376132930514</v>
      </c>
      <c r="AC49">
        <v>1016.105740181269</v>
      </c>
      <c r="AD49">
        <v>213.63867069486403</v>
      </c>
      <c r="AE49">
        <v>254.36858006042294</v>
      </c>
      <c r="AF49">
        <v>2035.091163141994</v>
      </c>
      <c r="AG49">
        <v>2370.0524924471301</v>
      </c>
      <c r="AH49">
        <v>3859.4540785498489</v>
      </c>
      <c r="AI49">
        <v>4473.687311178247</v>
      </c>
      <c r="AJ49">
        <v>2768.1489562904076</v>
      </c>
      <c r="AK49">
        <v>3359.8510437096002</v>
      </c>
      <c r="AL49">
        <v>3081.7411253776436</v>
      </c>
      <c r="AM49">
        <v>4033.871656495462</v>
      </c>
      <c r="AO49" s="9">
        <v>1.0229010096468578</v>
      </c>
      <c r="AP49" s="9">
        <v>1.2563208888687594</v>
      </c>
      <c r="AQ49" s="9">
        <v>1.0870283725301852</v>
      </c>
      <c r="AR49" s="9">
        <v>1.0760386846590455</v>
      </c>
      <c r="AS49" s="9">
        <v>1.0737096856877451</v>
      </c>
      <c r="AT49" s="9">
        <v>1.0965571291480405</v>
      </c>
      <c r="AU49" s="9">
        <v>1.1338086487144654</v>
      </c>
    </row>
    <row r="50" spans="1:47" ht="15.75">
      <c r="A50" s="5"/>
      <c r="B50" s="9">
        <v>2020</v>
      </c>
      <c r="C50" s="9" t="s">
        <v>4</v>
      </c>
      <c r="D50" s="9" t="s">
        <v>39</v>
      </c>
      <c r="E50" s="7" t="s">
        <v>6</v>
      </c>
      <c r="F50" s="5" t="s">
        <v>48</v>
      </c>
      <c r="G50" s="7" t="s">
        <v>8</v>
      </c>
      <c r="H50" s="7" t="s">
        <v>9</v>
      </c>
      <c r="I50" s="9" t="s">
        <v>47</v>
      </c>
      <c r="J50" s="9">
        <v>0.8</v>
      </c>
      <c r="K50" s="5">
        <v>2493</v>
      </c>
      <c r="L50" s="5">
        <v>14299</v>
      </c>
      <c r="M50" s="5">
        <v>6123.9999999999991</v>
      </c>
      <c r="N50" s="5">
        <v>8026.0247734138966</v>
      </c>
      <c r="O50">
        <v>6602.1914652567975</v>
      </c>
      <c r="P50">
        <v>1387.2439577039277</v>
      </c>
      <c r="Q50">
        <v>447.64229607250752</v>
      </c>
      <c r="R50">
        <v>502.17545317220538</v>
      </c>
      <c r="S50">
        <v>5546.6958543806668</v>
      </c>
      <c r="T50" s="5">
        <v>333161</v>
      </c>
      <c r="U50" s="5">
        <v>89448</v>
      </c>
      <c r="V50" s="5">
        <v>35475</v>
      </c>
      <c r="W50" s="9">
        <v>458084</v>
      </c>
      <c r="Y50" s="2">
        <v>42934.9738</v>
      </c>
      <c r="Z50">
        <v>245.27095921450149</v>
      </c>
      <c r="AA50">
        <v>256.90449395770389</v>
      </c>
      <c r="AB50">
        <v>509.34554380664656</v>
      </c>
      <c r="AC50">
        <v>877.89841389728099</v>
      </c>
      <c r="AD50">
        <v>203.4561933534743</v>
      </c>
      <c r="AE50">
        <v>244.18610271903322</v>
      </c>
      <c r="AF50">
        <v>2755.7999999999988</v>
      </c>
      <c r="AG50">
        <v>3368.2000000000003</v>
      </c>
      <c r="AH50">
        <v>3705.895770392749</v>
      </c>
      <c r="AI50">
        <v>4320.1290030211476</v>
      </c>
      <c r="AJ50">
        <v>2768.1489562904089</v>
      </c>
      <c r="AK50">
        <v>2778.5468980902579</v>
      </c>
      <c r="AL50">
        <v>2862.3865181268884</v>
      </c>
      <c r="AM50">
        <v>3739.8049471299091</v>
      </c>
      <c r="AO50" s="9">
        <v>1.0231662751926927</v>
      </c>
      <c r="AP50" s="9">
        <v>1.2656727160669261</v>
      </c>
      <c r="AQ50" s="9">
        <v>1.0909876249919013</v>
      </c>
      <c r="AR50" s="9">
        <v>1.1000000000000003</v>
      </c>
      <c r="AS50" s="9">
        <v>1.076530193958912</v>
      </c>
      <c r="AT50" s="9">
        <v>1.0018746190656256</v>
      </c>
      <c r="AU50" s="9">
        <v>1.1328980587158559</v>
      </c>
    </row>
    <row r="51" spans="1:47" ht="15.75">
      <c r="A51" s="5"/>
      <c r="B51" s="9">
        <v>2020</v>
      </c>
      <c r="C51" s="9" t="s">
        <v>4</v>
      </c>
      <c r="D51" s="9" t="s">
        <v>39</v>
      </c>
      <c r="E51" s="7" t="s">
        <v>6</v>
      </c>
      <c r="F51" s="5" t="s">
        <v>59</v>
      </c>
      <c r="G51" s="7" t="s">
        <v>8</v>
      </c>
      <c r="H51" s="7" t="s">
        <v>9</v>
      </c>
      <c r="I51" s="9" t="s">
        <v>47</v>
      </c>
      <c r="J51" s="9">
        <v>0.8</v>
      </c>
      <c r="K51" s="5">
        <v>2343</v>
      </c>
      <c r="L51" s="5">
        <v>14299</v>
      </c>
      <c r="M51" s="5">
        <v>3902.7016616314195</v>
      </c>
      <c r="N51" s="5">
        <v>11503.999999999985</v>
      </c>
      <c r="O51">
        <v>5776.8288330385367</v>
      </c>
      <c r="P51">
        <v>1018.6910876132931</v>
      </c>
      <c r="Q51">
        <v>406.91238670694861</v>
      </c>
      <c r="R51">
        <v>490.54191842900298</v>
      </c>
      <c r="S51">
        <v>5536.2979125808133</v>
      </c>
      <c r="T51" s="5">
        <v>318911</v>
      </c>
      <c r="U51" s="5">
        <v>89448</v>
      </c>
      <c r="V51" s="5">
        <v>35475</v>
      </c>
      <c r="W51" s="9">
        <v>443834</v>
      </c>
      <c r="Y51" s="2">
        <v>42934.9738</v>
      </c>
      <c r="Z51">
        <v>239.45419184290029</v>
      </c>
      <c r="AA51">
        <v>251.08772658610269</v>
      </c>
      <c r="AB51">
        <v>325.06910876132929</v>
      </c>
      <c r="AC51">
        <v>693.62197885196383</v>
      </c>
      <c r="AD51">
        <v>183.09123867069485</v>
      </c>
      <c r="AE51">
        <v>223.82114803625376</v>
      </c>
      <c r="AF51">
        <v>1783.8701661631419</v>
      </c>
      <c r="AG51">
        <v>2118.8314954682778</v>
      </c>
      <c r="AH51">
        <v>5176.7999999999847</v>
      </c>
      <c r="AI51">
        <v>6327.2000000000007</v>
      </c>
      <c r="AJ51">
        <v>2768.148956290408</v>
      </c>
      <c r="AK51">
        <v>2768.1489562904053</v>
      </c>
      <c r="AL51">
        <v>2423.6773036253776</v>
      </c>
      <c r="AM51">
        <v>3353.1515294131591</v>
      </c>
      <c r="AO51" s="9">
        <v>1.0237156791420796</v>
      </c>
      <c r="AP51" s="9">
        <v>1.3617906100995962</v>
      </c>
      <c r="AQ51" s="9">
        <v>1.100095034449988</v>
      </c>
      <c r="AR51" s="9">
        <v>1.0858280643376452</v>
      </c>
      <c r="AS51" s="9">
        <v>1.1000000000000014</v>
      </c>
      <c r="AT51" s="9">
        <v>0.99999999999999956</v>
      </c>
      <c r="AU51" s="9">
        <v>1.160896964866257</v>
      </c>
    </row>
    <row r="52" spans="1:47" ht="15.75">
      <c r="A52" s="5"/>
      <c r="B52" s="9">
        <v>2020</v>
      </c>
      <c r="C52" s="9" t="s">
        <v>4</v>
      </c>
      <c r="D52" s="9" t="s">
        <v>39</v>
      </c>
      <c r="E52" s="7" t="s">
        <v>6</v>
      </c>
      <c r="F52" s="5" t="s">
        <v>60</v>
      </c>
      <c r="G52" s="7" t="s">
        <v>8</v>
      </c>
      <c r="H52" s="7" t="s">
        <v>9</v>
      </c>
      <c r="I52" s="9" t="s">
        <v>47</v>
      </c>
      <c r="J52" s="9">
        <v>0.8</v>
      </c>
      <c r="K52" s="5">
        <v>2873</v>
      </c>
      <c r="L52" s="5">
        <v>14299</v>
      </c>
      <c r="M52" s="5">
        <v>3609.6104984894259</v>
      </c>
      <c r="N52" s="5">
        <v>6874.3374622356496</v>
      </c>
      <c r="O52">
        <v>11067.884308869336</v>
      </c>
      <c r="P52">
        <v>696.20732628398787</v>
      </c>
      <c r="Q52">
        <v>371.27371601208461</v>
      </c>
      <c r="R52">
        <v>480.36257552870086</v>
      </c>
      <c r="S52">
        <v>5536.2979125808142</v>
      </c>
      <c r="T52" s="5">
        <v>321101</v>
      </c>
      <c r="U52" s="5">
        <v>89447</v>
      </c>
      <c r="V52" s="5">
        <v>35475</v>
      </c>
      <c r="W52" s="9">
        <v>446023</v>
      </c>
      <c r="Y52" s="2">
        <v>42934.973799999992</v>
      </c>
      <c r="Z52">
        <v>238</v>
      </c>
      <c r="AA52">
        <v>242.36257552870089</v>
      </c>
      <c r="AB52">
        <v>279</v>
      </c>
      <c r="AC52">
        <v>417.20732628398792</v>
      </c>
      <c r="AD52">
        <v>178</v>
      </c>
      <c r="AE52">
        <v>193.27371601208458</v>
      </c>
      <c r="AF52">
        <v>1742</v>
      </c>
      <c r="AG52">
        <v>1867.6104984894259</v>
      </c>
      <c r="AH52">
        <v>3322</v>
      </c>
      <c r="AI52">
        <v>3552.3374622356496</v>
      </c>
      <c r="AJ52">
        <v>2768.1489562904067</v>
      </c>
      <c r="AK52">
        <v>2768.1489562904076</v>
      </c>
      <c r="AL52">
        <v>4902.8843088693366</v>
      </c>
      <c r="AM52">
        <v>6165</v>
      </c>
      <c r="AO52" s="9">
        <v>1.0090818389086604</v>
      </c>
      <c r="AP52" s="9">
        <v>1.1985146106141553</v>
      </c>
      <c r="AQ52" s="9">
        <v>1.0411386945893779</v>
      </c>
      <c r="AR52" s="9">
        <v>1.0347989065695571</v>
      </c>
      <c r="AS52" s="9">
        <v>1.0335068598975559</v>
      </c>
      <c r="AT52" s="9">
        <v>1.0000000000000002</v>
      </c>
      <c r="AU52" s="9">
        <v>1.1140340516677842</v>
      </c>
    </row>
    <row r="53" spans="1:47" ht="15.75">
      <c r="A53" s="5"/>
      <c r="B53" s="9">
        <v>2020</v>
      </c>
      <c r="C53" s="9" t="s">
        <v>4</v>
      </c>
      <c r="D53" s="9" t="s">
        <v>39</v>
      </c>
      <c r="E53" s="7" t="s">
        <v>6</v>
      </c>
      <c r="F53" s="5" t="s">
        <v>68</v>
      </c>
      <c r="G53" s="7" t="s">
        <v>8</v>
      </c>
      <c r="H53" s="7" t="s">
        <v>9</v>
      </c>
      <c r="I53" s="9" t="s">
        <v>47</v>
      </c>
      <c r="J53" s="9">
        <v>0.8</v>
      </c>
      <c r="K53" s="5">
        <v>2688</v>
      </c>
      <c r="L53" s="5">
        <v>14299</v>
      </c>
      <c r="M53" s="5">
        <v>4237.6629909365556</v>
      </c>
      <c r="N53" s="5">
        <v>8026.0247734138966</v>
      </c>
      <c r="O53">
        <v>6602.1914652567975</v>
      </c>
      <c r="P53">
        <v>3219.9999999999973</v>
      </c>
      <c r="Q53">
        <v>447.64229607250752</v>
      </c>
      <c r="R53">
        <v>502.17545317220538</v>
      </c>
      <c r="S53">
        <v>5590.3068066980468</v>
      </c>
      <c r="T53" s="5">
        <v>340895</v>
      </c>
      <c r="U53" s="5">
        <v>89448</v>
      </c>
      <c r="V53" s="5">
        <v>35475</v>
      </c>
      <c r="W53" s="9">
        <v>465818</v>
      </c>
      <c r="Y53" s="2">
        <v>42925.003785550012</v>
      </c>
      <c r="Z53">
        <v>245.27095921450149</v>
      </c>
      <c r="AA53">
        <v>256.90449395770389</v>
      </c>
      <c r="AB53">
        <v>1509.049999999997</v>
      </c>
      <c r="AC53">
        <v>1710.95</v>
      </c>
      <c r="AD53">
        <v>203.4561933534743</v>
      </c>
      <c r="AE53">
        <v>244.18610271903322</v>
      </c>
      <c r="AF53">
        <v>1951.35083081571</v>
      </c>
      <c r="AG53">
        <v>2286.3121601208459</v>
      </c>
      <c r="AH53">
        <v>3705.895770392749</v>
      </c>
      <c r="AI53">
        <v>4320.1290030211476</v>
      </c>
      <c r="AJ53">
        <v>2768.1489562904085</v>
      </c>
      <c r="AK53">
        <v>2822.1578504076379</v>
      </c>
      <c r="AL53">
        <v>2862.3865181268884</v>
      </c>
      <c r="AM53">
        <v>3739.8049471299091</v>
      </c>
      <c r="AO53" s="9">
        <v>1.0231662751926927</v>
      </c>
      <c r="AP53" s="9">
        <v>1.0627018633540382</v>
      </c>
      <c r="AQ53" s="9">
        <v>1.0909876249919013</v>
      </c>
      <c r="AR53" s="9">
        <v>1.0790438810310179</v>
      </c>
      <c r="AS53" s="9">
        <v>1.076530193958912</v>
      </c>
      <c r="AT53" s="9">
        <v>1.0096611681585199</v>
      </c>
      <c r="AU53" s="9">
        <v>1.1328980587158559</v>
      </c>
    </row>
    <row r="54" spans="1:47" ht="15.75">
      <c r="A54" s="5"/>
      <c r="B54" s="9">
        <v>2020</v>
      </c>
      <c r="C54" s="9" t="s">
        <v>4</v>
      </c>
      <c r="D54" s="9" t="s">
        <v>39</v>
      </c>
      <c r="E54" s="7" t="s">
        <v>6</v>
      </c>
      <c r="F54" s="5" t="s">
        <v>69</v>
      </c>
      <c r="G54" s="7" t="s">
        <v>8</v>
      </c>
      <c r="H54" s="7" t="s">
        <v>9</v>
      </c>
      <c r="I54" s="9" t="s">
        <v>47</v>
      </c>
      <c r="J54" s="9">
        <v>0.8</v>
      </c>
      <c r="K54" s="5">
        <v>2266</v>
      </c>
      <c r="L54" s="5">
        <v>14299</v>
      </c>
      <c r="M54" s="5">
        <v>4405.1436555891241</v>
      </c>
      <c r="N54" s="5">
        <v>8333.1413897280963</v>
      </c>
      <c r="O54">
        <v>7095.6050024169199</v>
      </c>
      <c r="P54">
        <v>1617.5895015105741</v>
      </c>
      <c r="Q54">
        <v>468.00725075528698</v>
      </c>
      <c r="R54">
        <v>528</v>
      </c>
      <c r="S54">
        <v>6128</v>
      </c>
      <c r="T54" s="5">
        <v>339329</v>
      </c>
      <c r="U54" s="5">
        <v>89448</v>
      </c>
      <c r="V54" s="5">
        <v>35475</v>
      </c>
      <c r="W54" s="9">
        <v>464252</v>
      </c>
      <c r="Y54" s="2">
        <v>42874.486799999999</v>
      </c>
      <c r="Z54">
        <v>264</v>
      </c>
      <c r="AA54">
        <v>264</v>
      </c>
      <c r="AB54">
        <v>601.48376132930514</v>
      </c>
      <c r="AC54">
        <v>1016.105740181269</v>
      </c>
      <c r="AD54">
        <v>213.63867069486403</v>
      </c>
      <c r="AE54">
        <v>254.36858006042294</v>
      </c>
      <c r="AF54">
        <v>2035.091163141994</v>
      </c>
      <c r="AG54">
        <v>2370.0524924471301</v>
      </c>
      <c r="AH54">
        <v>3859.4540785498489</v>
      </c>
      <c r="AI54">
        <v>4473.687311178247</v>
      </c>
      <c r="AJ54">
        <v>2768.1489562904071</v>
      </c>
      <c r="AK54">
        <v>3359.8510437095929</v>
      </c>
      <c r="AL54">
        <v>3081.7411253776436</v>
      </c>
      <c r="AM54">
        <v>4013.8638770392768</v>
      </c>
      <c r="AO54" s="9">
        <v>1</v>
      </c>
      <c r="AP54" s="9">
        <v>1.2563208888687594</v>
      </c>
      <c r="AQ54" s="9">
        <v>1.0870283725301852</v>
      </c>
      <c r="AR54" s="9">
        <v>1.0760386846590455</v>
      </c>
      <c r="AS54" s="9">
        <v>1.0737096856877451</v>
      </c>
      <c r="AT54" s="9">
        <v>1.0965571291480394</v>
      </c>
      <c r="AU54" s="9">
        <v>1.1313662120910242</v>
      </c>
    </row>
    <row r="55" spans="1:47" ht="15.75">
      <c r="A55" s="5"/>
      <c r="B55" s="9">
        <v>2020</v>
      </c>
      <c r="C55" s="9" t="s">
        <v>4</v>
      </c>
      <c r="D55" s="9" t="s">
        <v>39</v>
      </c>
      <c r="E55" s="7" t="s">
        <v>6</v>
      </c>
      <c r="F55" s="5" t="s">
        <v>70</v>
      </c>
      <c r="G55" s="7" t="s">
        <v>8</v>
      </c>
      <c r="H55" s="7" t="s">
        <v>9</v>
      </c>
      <c r="I55" s="9" t="s">
        <v>47</v>
      </c>
      <c r="J55" s="9">
        <v>0.8</v>
      </c>
      <c r="K55" s="5">
        <v>2290</v>
      </c>
      <c r="L55" s="5">
        <v>14299</v>
      </c>
      <c r="M55" s="5">
        <v>4400.1654631419915</v>
      </c>
      <c r="N55" s="5">
        <v>8256.3622356495453</v>
      </c>
      <c r="O55">
        <v>7040.9006797583079</v>
      </c>
      <c r="P55">
        <v>1571.5203927492448</v>
      </c>
      <c r="Q55">
        <v>672.00000000000068</v>
      </c>
      <c r="R55">
        <v>506.53802870090635</v>
      </c>
      <c r="S55">
        <v>6128.0000000000018</v>
      </c>
      <c r="T55" s="5">
        <v>339005</v>
      </c>
      <c r="U55" s="5">
        <v>89447</v>
      </c>
      <c r="V55" s="5">
        <v>35475</v>
      </c>
      <c r="W55" s="9">
        <v>463927</v>
      </c>
      <c r="Y55" s="2">
        <v>42874.486799999991</v>
      </c>
      <c r="Z55">
        <v>246.7251510574018</v>
      </c>
      <c r="AA55">
        <v>259.81287764350452</v>
      </c>
      <c r="AB55">
        <v>601.48376132930514</v>
      </c>
      <c r="AC55">
        <v>970.03663141993968</v>
      </c>
      <c r="AD55">
        <v>335.70000000000067</v>
      </c>
      <c r="AE55">
        <v>336.3</v>
      </c>
      <c r="AF55">
        <v>2030.1129706948616</v>
      </c>
      <c r="AG55">
        <v>2370.0524924471301</v>
      </c>
      <c r="AH55">
        <v>3782.6749244712987</v>
      </c>
      <c r="AI55">
        <v>4473.687311178247</v>
      </c>
      <c r="AJ55">
        <v>2768.1489562904085</v>
      </c>
      <c r="AK55">
        <v>3359.8510437095933</v>
      </c>
      <c r="AL55">
        <v>3081.7411253776436</v>
      </c>
      <c r="AM55">
        <v>3959.1595543806648</v>
      </c>
      <c r="AO55" s="9">
        <v>1.0258375992413997</v>
      </c>
      <c r="AP55" s="9">
        <v>1.2345199411926699</v>
      </c>
      <c r="AQ55" s="9">
        <v>1.0008928571428561</v>
      </c>
      <c r="AR55" s="9">
        <v>1.0772560769815984</v>
      </c>
      <c r="AS55" s="9">
        <v>1.0836945336195736</v>
      </c>
      <c r="AT55" s="9">
        <v>1.0965571291480394</v>
      </c>
      <c r="AU55" s="9">
        <v>1.1246173563455437</v>
      </c>
    </row>
    <row r="56" spans="1:47" ht="15.75">
      <c r="A56" s="5"/>
      <c r="B56" s="9">
        <v>2020</v>
      </c>
      <c r="C56" s="9" t="s">
        <v>4</v>
      </c>
      <c r="D56" s="9" t="s">
        <v>5</v>
      </c>
      <c r="E56" s="7" t="s">
        <v>6</v>
      </c>
      <c r="F56" s="7" t="s">
        <v>7</v>
      </c>
      <c r="G56" s="7" t="s">
        <v>8</v>
      </c>
      <c r="H56" s="7" t="s">
        <v>9</v>
      </c>
      <c r="I56" s="9" t="s">
        <v>47</v>
      </c>
      <c r="J56" s="9">
        <v>0.8</v>
      </c>
      <c r="K56" s="5">
        <v>2928</v>
      </c>
      <c r="L56" s="5">
        <v>6165</v>
      </c>
      <c r="M56" s="5">
        <v>5089.2924710424713</v>
      </c>
      <c r="N56" s="5">
        <v>9583.2939476447827</v>
      </c>
      <c r="O56">
        <v>8833.0024131274131</v>
      </c>
      <c r="P56">
        <v>2324.278957528958</v>
      </c>
      <c r="Q56">
        <v>551.19691119691106</v>
      </c>
      <c r="R56">
        <v>520.58445945945937</v>
      </c>
      <c r="S56">
        <v>6128.0000000000027</v>
      </c>
      <c r="T56" s="5">
        <v>329040</v>
      </c>
      <c r="U56" s="5">
        <v>47021</v>
      </c>
      <c r="V56" s="5">
        <v>71932</v>
      </c>
      <c r="W56" s="9">
        <v>447993</v>
      </c>
      <c r="Y56" s="2">
        <v>39194.649159999994</v>
      </c>
      <c r="Z56">
        <v>256.58445945945942</v>
      </c>
      <c r="AA56">
        <v>264</v>
      </c>
      <c r="AB56">
        <v>926.63561776061783</v>
      </c>
      <c r="AC56">
        <v>1397.64333976834</v>
      </c>
      <c r="AD56">
        <v>249.57220077220074</v>
      </c>
      <c r="AE56">
        <v>301.62471042471037</v>
      </c>
      <c r="AF56">
        <v>2330.6072393822396</v>
      </c>
      <c r="AG56">
        <v>2758.6852316602317</v>
      </c>
      <c r="AH56">
        <v>4396.9537932046287</v>
      </c>
      <c r="AI56">
        <v>5186.340154440154</v>
      </c>
      <c r="AJ56">
        <v>2768.1489562904062</v>
      </c>
      <c r="AK56">
        <v>3359.8510437095965</v>
      </c>
      <c r="AL56">
        <v>3855.8342181467183</v>
      </c>
      <c r="AM56">
        <v>4977.1681949806953</v>
      </c>
      <c r="AO56" s="9">
        <v>1.0142446444679514</v>
      </c>
      <c r="AP56" s="9">
        <v>1.2026468124585488</v>
      </c>
      <c r="AQ56" s="9">
        <v>1.0944354160829364</v>
      </c>
      <c r="AR56" s="9">
        <v>1.0841134587398367</v>
      </c>
      <c r="AS56" s="9">
        <v>1.0823710892672271</v>
      </c>
      <c r="AT56" s="9">
        <v>1.09655712914804</v>
      </c>
      <c r="AU56" s="9">
        <v>1.1269482248943434</v>
      </c>
    </row>
    <row r="57" spans="1:47" ht="15.75">
      <c r="A57" s="5"/>
      <c r="B57" s="9">
        <v>2020</v>
      </c>
      <c r="C57" s="9" t="s">
        <v>4</v>
      </c>
      <c r="D57" s="9" t="s">
        <v>5</v>
      </c>
      <c r="E57" s="7" t="s">
        <v>6</v>
      </c>
      <c r="F57" s="5" t="s">
        <v>48</v>
      </c>
      <c r="G57" s="7" t="s">
        <v>8</v>
      </c>
      <c r="H57" s="7" t="s">
        <v>9</v>
      </c>
      <c r="I57" s="9" t="s">
        <v>47</v>
      </c>
      <c r="J57" s="9">
        <v>0.8</v>
      </c>
      <c r="K57" s="5">
        <v>2688</v>
      </c>
      <c r="L57" s="5">
        <v>6165</v>
      </c>
      <c r="M57" s="5">
        <v>6123.9999999999991</v>
      </c>
      <c r="N57" s="5">
        <v>9293.3254826254815</v>
      </c>
      <c r="O57">
        <v>8412.1389109652464</v>
      </c>
      <c r="P57">
        <v>2088.7750965250971</v>
      </c>
      <c r="Q57">
        <v>525.17065637065639</v>
      </c>
      <c r="R57">
        <v>518.72601351351352</v>
      </c>
      <c r="S57">
        <v>6128.0000000000073</v>
      </c>
      <c r="T57" s="5">
        <v>314625</v>
      </c>
      <c r="U57" s="5">
        <v>47021</v>
      </c>
      <c r="V57" s="5">
        <v>71932</v>
      </c>
      <c r="W57" s="9">
        <v>433578</v>
      </c>
      <c r="Y57" s="2">
        <v>39255.136160000002</v>
      </c>
      <c r="Z57">
        <v>254.72601351351349</v>
      </c>
      <c r="AA57">
        <v>264</v>
      </c>
      <c r="AB57">
        <v>808.88368725868736</v>
      </c>
      <c r="AC57">
        <v>1279.8914092664095</v>
      </c>
      <c r="AD57">
        <v>236.55907335907335</v>
      </c>
      <c r="AE57">
        <v>288.61158301158298</v>
      </c>
      <c r="AF57">
        <v>2755.7999999999988</v>
      </c>
      <c r="AG57">
        <v>3368.2000000000003</v>
      </c>
      <c r="AH57">
        <v>4205.1084942084935</v>
      </c>
      <c r="AI57">
        <v>5088.216988416988</v>
      </c>
      <c r="AJ57">
        <v>2768.1489562904053</v>
      </c>
      <c r="AK57">
        <v>3359.851043709602</v>
      </c>
      <c r="AL57">
        <v>3575.5007239382239</v>
      </c>
      <c r="AM57">
        <v>4836.6381870270225</v>
      </c>
      <c r="AO57" s="9">
        <v>1.0178783909904008</v>
      </c>
      <c r="AP57" s="9">
        <v>1.2254947039493596</v>
      </c>
      <c r="AQ57" s="9">
        <v>1.0991154189996706</v>
      </c>
      <c r="AR57" s="9">
        <v>1.1000000000000003</v>
      </c>
      <c r="AS57" s="9">
        <v>1.0950261018899561</v>
      </c>
      <c r="AT57" s="9">
        <v>1.0965571291480412</v>
      </c>
      <c r="AU57" s="9">
        <v>1.1499187634009351</v>
      </c>
    </row>
    <row r="58" spans="1:47" ht="15.75">
      <c r="A58" s="5"/>
      <c r="B58" s="9">
        <v>2020</v>
      </c>
      <c r="C58" s="9" t="s">
        <v>4</v>
      </c>
      <c r="D58" s="9" t="s">
        <v>5</v>
      </c>
      <c r="E58" s="7" t="s">
        <v>6</v>
      </c>
      <c r="F58" s="5" t="s">
        <v>59</v>
      </c>
      <c r="G58" s="7" t="s">
        <v>8</v>
      </c>
      <c r="H58" s="7" t="s">
        <v>9</v>
      </c>
      <c r="I58" s="9" t="s">
        <v>47</v>
      </c>
      <c r="J58" s="9">
        <v>0.8</v>
      </c>
      <c r="K58" s="5">
        <v>2606</v>
      </c>
      <c r="L58" s="5">
        <v>6165</v>
      </c>
      <c r="M58" s="5">
        <v>4714.7242277992282</v>
      </c>
      <c r="N58" s="5">
        <v>11504.000000000002</v>
      </c>
      <c r="O58">
        <v>7851.835183397684</v>
      </c>
      <c r="P58">
        <v>1877.4232256370578</v>
      </c>
      <c r="Q58">
        <v>499.14440154440149</v>
      </c>
      <c r="R58">
        <v>515.0091216216216</v>
      </c>
      <c r="S58">
        <v>6128.0000000000027</v>
      </c>
      <c r="T58" s="5">
        <v>302059</v>
      </c>
      <c r="U58" s="5">
        <v>47021</v>
      </c>
      <c r="V58" s="5">
        <v>71932</v>
      </c>
      <c r="W58" s="9">
        <v>421012</v>
      </c>
      <c r="Y58" s="2">
        <v>39255.136159999995</v>
      </c>
      <c r="Z58">
        <v>251.0091216216216</v>
      </c>
      <c r="AA58">
        <v>264</v>
      </c>
      <c r="AB58">
        <v>691.13175675675677</v>
      </c>
      <c r="AC58">
        <v>1186.291468880301</v>
      </c>
      <c r="AD58">
        <v>223.54594594594593</v>
      </c>
      <c r="AE58">
        <v>275.59845559845559</v>
      </c>
      <c r="AF58">
        <v>2116.5682432432432</v>
      </c>
      <c r="AG58">
        <v>2598.1559845559846</v>
      </c>
      <c r="AH58">
        <v>5176.8000000000011</v>
      </c>
      <c r="AI58">
        <v>6327.2000000000007</v>
      </c>
      <c r="AJ58">
        <v>2768.1489562904053</v>
      </c>
      <c r="AK58">
        <v>3359.8510437095974</v>
      </c>
      <c r="AL58">
        <v>3295.16722972973</v>
      </c>
      <c r="AM58">
        <v>4556.667953667954</v>
      </c>
      <c r="AO58" s="9">
        <v>1.0252245597854146</v>
      </c>
      <c r="AP58" s="9">
        <v>1.2637443200669491</v>
      </c>
      <c r="AQ58" s="9">
        <v>1.1042834688548127</v>
      </c>
      <c r="AR58" s="9">
        <v>1.1021454740604288</v>
      </c>
      <c r="AS58" s="9">
        <v>1.0999999999999999</v>
      </c>
      <c r="AT58" s="9">
        <v>1.0965571291480405</v>
      </c>
      <c r="AU58" s="9">
        <v>1.1606631691156233</v>
      </c>
    </row>
    <row r="59" spans="1:47" ht="15.75">
      <c r="A59" s="5"/>
      <c r="B59" s="9">
        <v>2020</v>
      </c>
      <c r="C59" s="9" t="s">
        <v>4</v>
      </c>
      <c r="D59" s="9" t="s">
        <v>5</v>
      </c>
      <c r="E59" s="7" t="s">
        <v>6</v>
      </c>
      <c r="F59" s="5" t="s">
        <v>60</v>
      </c>
      <c r="G59" s="7" t="s">
        <v>8</v>
      </c>
      <c r="H59" s="7" t="s">
        <v>9</v>
      </c>
      <c r="I59" s="9" t="s">
        <v>47</v>
      </c>
      <c r="J59" s="9">
        <v>0.8</v>
      </c>
      <c r="K59" s="5">
        <v>2826</v>
      </c>
      <c r="L59" s="5">
        <v>6165</v>
      </c>
      <c r="M59" s="5">
        <v>4500.6852316602317</v>
      </c>
      <c r="N59" s="5">
        <v>8535.4004746718092</v>
      </c>
      <c r="O59">
        <v>11210</v>
      </c>
      <c r="P59">
        <v>1725.1335135135137</v>
      </c>
      <c r="Q59">
        <v>479.62471042471043</v>
      </c>
      <c r="R59">
        <v>511.29222972972968</v>
      </c>
      <c r="S59">
        <v>6128.0000000000073</v>
      </c>
      <c r="T59" s="5">
        <v>302693</v>
      </c>
      <c r="U59" s="5">
        <v>47021</v>
      </c>
      <c r="V59" s="5">
        <v>71932</v>
      </c>
      <c r="W59" s="9">
        <v>421646</v>
      </c>
      <c r="Y59" s="2">
        <v>39255.136159999995</v>
      </c>
      <c r="Z59">
        <v>247.29222972972971</v>
      </c>
      <c r="AA59">
        <v>264</v>
      </c>
      <c r="AB59">
        <v>621.87</v>
      </c>
      <c r="AC59">
        <v>1103.2635135135135</v>
      </c>
      <c r="AD59">
        <v>210.53281853281854</v>
      </c>
      <c r="AE59">
        <v>269.09189189189186</v>
      </c>
      <c r="AF59">
        <v>2009.5487451737451</v>
      </c>
      <c r="AG59">
        <v>2491.1364864864868</v>
      </c>
      <c r="AH59">
        <v>3839.6761503474845</v>
      </c>
      <c r="AI59">
        <v>4695.7243243243238</v>
      </c>
      <c r="AJ59">
        <v>2768.1489562904044</v>
      </c>
      <c r="AK59">
        <v>3359.8510437096029</v>
      </c>
      <c r="AL59">
        <v>5045</v>
      </c>
      <c r="AM59">
        <v>6165</v>
      </c>
      <c r="AO59" s="9">
        <v>1.0326775360523317</v>
      </c>
      <c r="AP59" s="9">
        <v>1.2790471054805941</v>
      </c>
      <c r="AQ59" s="9">
        <v>1.1220935287241953</v>
      </c>
      <c r="AR59" s="9">
        <v>1.107003204295425</v>
      </c>
      <c r="AS59" s="9">
        <v>1.1002938498922341</v>
      </c>
      <c r="AT59" s="9">
        <v>1.0965571291480414</v>
      </c>
      <c r="AU59" s="9">
        <v>1.0999107939339876</v>
      </c>
    </row>
    <row r="60" spans="1:47" ht="15.75">
      <c r="A60" s="5"/>
      <c r="B60" s="9">
        <v>2020</v>
      </c>
      <c r="C60" s="9" t="s">
        <v>4</v>
      </c>
      <c r="D60" s="9" t="s">
        <v>5</v>
      </c>
      <c r="E60" s="7" t="s">
        <v>6</v>
      </c>
      <c r="F60" s="5" t="s">
        <v>68</v>
      </c>
      <c r="G60" s="7" t="s">
        <v>8</v>
      </c>
      <c r="H60" s="7" t="s">
        <v>9</v>
      </c>
      <c r="I60" s="9" t="s">
        <v>47</v>
      </c>
      <c r="J60" s="9">
        <v>0.8</v>
      </c>
      <c r="K60" s="5">
        <v>2913</v>
      </c>
      <c r="L60" s="5">
        <v>6165</v>
      </c>
      <c r="M60" s="5">
        <v>4928.7632239382237</v>
      </c>
      <c r="N60" s="5">
        <v>9312.0401111567116</v>
      </c>
      <c r="O60">
        <v>8450.9295913143214</v>
      </c>
      <c r="P60">
        <v>3220.0000000000009</v>
      </c>
      <c r="Q60">
        <v>531.67722007722</v>
      </c>
      <c r="R60">
        <v>518.72601351351352</v>
      </c>
      <c r="S60">
        <v>6128.0000000000082</v>
      </c>
      <c r="T60" s="5">
        <v>321294</v>
      </c>
      <c r="U60" s="5">
        <v>47021</v>
      </c>
      <c r="V60" s="5">
        <v>71932</v>
      </c>
      <c r="W60" s="9">
        <v>440247</v>
      </c>
      <c r="Y60" s="2">
        <v>39255.136159999995</v>
      </c>
      <c r="Z60">
        <v>254.72601351351349</v>
      </c>
      <c r="AA60">
        <v>264</v>
      </c>
      <c r="AB60">
        <v>1509.0500000000009</v>
      </c>
      <c r="AC60">
        <v>1710.95</v>
      </c>
      <c r="AD60">
        <v>236.55907335907335</v>
      </c>
      <c r="AE60">
        <v>295.1181467181467</v>
      </c>
      <c r="AF60">
        <v>2223.5877413127414</v>
      </c>
      <c r="AG60">
        <v>2705.1754826254828</v>
      </c>
      <c r="AH60">
        <v>4223.8231227397246</v>
      </c>
      <c r="AI60">
        <v>5088.216988416988</v>
      </c>
      <c r="AJ60">
        <v>2768.148956290408</v>
      </c>
      <c r="AK60">
        <v>3359.8510437096002</v>
      </c>
      <c r="AL60">
        <v>3613.9281434378731</v>
      </c>
      <c r="AM60">
        <v>4837.0014478764479</v>
      </c>
      <c r="AO60" s="9">
        <v>1.0178783909904008</v>
      </c>
      <c r="AP60" s="9">
        <v>1.062701863354037</v>
      </c>
      <c r="AQ60" s="9">
        <v>1.110140271480069</v>
      </c>
      <c r="AR60" s="9">
        <v>1.0977096523877929</v>
      </c>
      <c r="AS60" s="9">
        <v>1.0928254018839156</v>
      </c>
      <c r="AT60" s="9">
        <v>1.0965571291480403</v>
      </c>
      <c r="AU60" s="9">
        <v>1.1447264814152069</v>
      </c>
    </row>
    <row r="61" spans="1:47" ht="15.75">
      <c r="A61" s="5"/>
      <c r="B61" s="9">
        <v>2020</v>
      </c>
      <c r="C61" s="9" t="s">
        <v>4</v>
      </c>
      <c r="D61" s="9" t="s">
        <v>5</v>
      </c>
      <c r="E61" s="7" t="s">
        <v>6</v>
      </c>
      <c r="F61" s="5" t="s">
        <v>69</v>
      </c>
      <c r="G61" s="7" t="s">
        <v>8</v>
      </c>
      <c r="H61" s="7" t="s">
        <v>9</v>
      </c>
      <c r="I61" s="9" t="s">
        <v>47</v>
      </c>
      <c r="J61" s="9">
        <v>0.8</v>
      </c>
      <c r="K61" s="5">
        <v>2928</v>
      </c>
      <c r="L61" s="5">
        <v>6165</v>
      </c>
      <c r="M61" s="5">
        <v>5089.2924710424713</v>
      </c>
      <c r="N61" s="5">
        <v>9575.878407104241</v>
      </c>
      <c r="O61">
        <v>8833.0024131274131</v>
      </c>
      <c r="P61">
        <v>2324.278957528958</v>
      </c>
      <c r="Q61">
        <v>551.19691119691106</v>
      </c>
      <c r="R61">
        <v>528</v>
      </c>
      <c r="S61">
        <v>6128.0000000000027</v>
      </c>
      <c r="T61" s="5">
        <v>327802</v>
      </c>
      <c r="U61" s="5">
        <v>47021</v>
      </c>
      <c r="V61" s="5">
        <v>71932</v>
      </c>
      <c r="W61" s="9">
        <v>446755</v>
      </c>
      <c r="Y61" s="2">
        <v>39194.649159999986</v>
      </c>
      <c r="Z61">
        <v>264</v>
      </c>
      <c r="AA61">
        <v>264</v>
      </c>
      <c r="AB61">
        <v>926.63561776061783</v>
      </c>
      <c r="AC61">
        <v>1397.64333976834</v>
      </c>
      <c r="AD61">
        <v>249.57220077220074</v>
      </c>
      <c r="AE61">
        <v>301.62471042471037</v>
      </c>
      <c r="AF61">
        <v>2330.6072393822396</v>
      </c>
      <c r="AG61">
        <v>2758.6852316602317</v>
      </c>
      <c r="AH61">
        <v>4389.5382526640869</v>
      </c>
      <c r="AI61">
        <v>5186.340154440154</v>
      </c>
      <c r="AJ61">
        <v>2768.1489562904039</v>
      </c>
      <c r="AK61">
        <v>3359.8510437095988</v>
      </c>
      <c r="AL61">
        <v>3855.8342181467183</v>
      </c>
      <c r="AM61">
        <v>4977.1681949806953</v>
      </c>
      <c r="AO61" s="9">
        <v>1</v>
      </c>
      <c r="AP61" s="9">
        <v>1.2026468124585488</v>
      </c>
      <c r="AQ61" s="9">
        <v>1.0944354160829364</v>
      </c>
      <c r="AR61" s="9">
        <v>1.0841134587398367</v>
      </c>
      <c r="AS61" s="9">
        <v>1.0832092752122802</v>
      </c>
      <c r="AT61" s="9">
        <v>1.0965571291480409</v>
      </c>
      <c r="AU61" s="9">
        <v>1.1269482248943434</v>
      </c>
    </row>
    <row r="62" spans="1:47" ht="15.75">
      <c r="A62" s="5"/>
      <c r="B62" s="9">
        <v>2020</v>
      </c>
      <c r="C62" s="9" t="s">
        <v>4</v>
      </c>
      <c r="D62" s="9" t="s">
        <v>5</v>
      </c>
      <c r="E62" s="7" t="s">
        <v>6</v>
      </c>
      <c r="F62" s="5" t="s">
        <v>70</v>
      </c>
      <c r="G62" s="7" t="s">
        <v>8</v>
      </c>
      <c r="H62" s="7" t="s">
        <v>9</v>
      </c>
      <c r="I62" s="9" t="s">
        <v>47</v>
      </c>
      <c r="J62" s="9">
        <v>0.8</v>
      </c>
      <c r="K62" s="5">
        <v>2893</v>
      </c>
      <c r="L62" s="5">
        <v>6165</v>
      </c>
      <c r="M62" s="5">
        <v>5062.2115152123506</v>
      </c>
      <c r="N62" s="5">
        <v>9489.5718146718136</v>
      </c>
      <c r="O62">
        <v>8833.0024131274131</v>
      </c>
      <c r="P62">
        <v>2324.278957528958</v>
      </c>
      <c r="Q62">
        <v>672</v>
      </c>
      <c r="R62">
        <v>520.58445945945937</v>
      </c>
      <c r="S62">
        <v>6128.0000000000018</v>
      </c>
      <c r="T62" s="5">
        <v>327491</v>
      </c>
      <c r="U62" s="5">
        <v>47021</v>
      </c>
      <c r="V62" s="5">
        <v>71932</v>
      </c>
      <c r="W62" s="9">
        <v>446444</v>
      </c>
      <c r="Y62" s="2">
        <v>39194.649159999994</v>
      </c>
      <c r="Z62">
        <v>256.58445945945942</v>
      </c>
      <c r="AA62">
        <v>264</v>
      </c>
      <c r="AB62">
        <v>926.63561776061783</v>
      </c>
      <c r="AC62">
        <v>1397.64333976834</v>
      </c>
      <c r="AD62">
        <v>335.7</v>
      </c>
      <c r="AE62">
        <v>336.3</v>
      </c>
      <c r="AF62">
        <v>2303.5262835521189</v>
      </c>
      <c r="AG62">
        <v>2758.6852316602317</v>
      </c>
      <c r="AH62">
        <v>4303.2316602316596</v>
      </c>
      <c r="AI62">
        <v>5186.340154440154</v>
      </c>
      <c r="AJ62">
        <v>2768.1489562904067</v>
      </c>
      <c r="AK62">
        <v>3359.8510437095952</v>
      </c>
      <c r="AL62">
        <v>3855.8342181467183</v>
      </c>
      <c r="AM62">
        <v>4977.1681949806953</v>
      </c>
      <c r="AO62" s="9">
        <v>1.0142446444679514</v>
      </c>
      <c r="AP62" s="9">
        <v>1.2026468124585488</v>
      </c>
      <c r="AQ62" s="9">
        <v>1.0008928571428573</v>
      </c>
      <c r="AR62" s="9">
        <v>1.089913064031466</v>
      </c>
      <c r="AS62" s="9">
        <v>1.0930609422063831</v>
      </c>
      <c r="AT62" s="9">
        <v>1.0965571291480398</v>
      </c>
      <c r="AU62" s="9">
        <v>1.1269482248943434</v>
      </c>
    </row>
    <row r="116" spans="3:119">
      <c r="C116" t="s">
        <v>72</v>
      </c>
      <c r="AZ116" t="s">
        <v>73</v>
      </c>
    </row>
    <row r="119" spans="3:119">
      <c r="BU119" t="s">
        <v>74</v>
      </c>
      <c r="CR119" t="s">
        <v>75</v>
      </c>
      <c r="DL119" s="5"/>
      <c r="DO119" t="s">
        <v>74</v>
      </c>
    </row>
    <row r="120" spans="3:119">
      <c r="DL120" s="5"/>
    </row>
  </sheetData>
  <mergeCells count="4">
    <mergeCell ref="C2:D2"/>
    <mergeCell ref="F2:I2"/>
    <mergeCell ref="M2:S2"/>
    <mergeCell ref="T2:V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J17"/>
  <sheetViews>
    <sheetView topLeftCell="A16" zoomScaleNormal="100" workbookViewId="0">
      <selection activeCell="H53" sqref="H53"/>
    </sheetView>
  </sheetViews>
  <sheetFormatPr defaultRowHeight="15"/>
  <sheetData>
    <row r="3" spans="1:10">
      <c r="C3" t="s">
        <v>5</v>
      </c>
      <c r="D3" t="s">
        <v>39</v>
      </c>
      <c r="I3" t="s">
        <v>5</v>
      </c>
      <c r="J3" t="s">
        <v>39</v>
      </c>
    </row>
    <row r="4" spans="1:10">
      <c r="A4" t="s">
        <v>45</v>
      </c>
      <c r="B4" t="s">
        <v>7</v>
      </c>
      <c r="C4" s="18">
        <v>0.17201194418672719</v>
      </c>
      <c r="D4" s="19">
        <v>0.15606730482622577</v>
      </c>
      <c r="G4" t="s">
        <v>45</v>
      </c>
      <c r="H4" t="s">
        <v>7</v>
      </c>
      <c r="I4" s="18">
        <v>0.17201194418672719</v>
      </c>
      <c r="J4" s="18">
        <v>0.15606730482622577</v>
      </c>
    </row>
    <row r="5" spans="1:10">
      <c r="A5" t="s">
        <v>45</v>
      </c>
      <c r="B5" t="s">
        <v>48</v>
      </c>
      <c r="C5" s="18">
        <v>0.15868622588950743</v>
      </c>
      <c r="D5" s="19">
        <v>0.16438482366438745</v>
      </c>
      <c r="G5" t="s">
        <v>47</v>
      </c>
      <c r="H5" t="s">
        <v>7</v>
      </c>
      <c r="I5" s="18">
        <v>0.13828728857621947</v>
      </c>
      <c r="J5" s="18">
        <v>0.1248768596105959</v>
      </c>
    </row>
    <row r="6" spans="1:10">
      <c r="A6" t="s">
        <v>45</v>
      </c>
      <c r="B6" t="s">
        <v>59</v>
      </c>
      <c r="C6" s="18">
        <v>0.1477288347165536</v>
      </c>
      <c r="D6" s="19">
        <v>0.15216937762062216</v>
      </c>
      <c r="G6" t="s">
        <v>45</v>
      </c>
      <c r="H6" t="s">
        <v>59</v>
      </c>
      <c r="I6" s="18">
        <v>0.1477288347165536</v>
      </c>
      <c r="J6" s="18">
        <v>0.15216937762062216</v>
      </c>
    </row>
    <row r="7" spans="1:10">
      <c r="A7" t="s">
        <v>45</v>
      </c>
      <c r="B7" t="s">
        <v>60</v>
      </c>
      <c r="C7" s="18">
        <v>0.15410891011375782</v>
      </c>
      <c r="D7" s="19">
        <v>0.1667696891841422</v>
      </c>
      <c r="G7" t="s">
        <v>47</v>
      </c>
      <c r="H7" t="s">
        <v>59</v>
      </c>
      <c r="I7" s="18">
        <v>0.12307683643029375</v>
      </c>
      <c r="J7" s="18">
        <v>0.12959885925512399</v>
      </c>
    </row>
    <row r="8" spans="1:10">
      <c r="A8" t="s">
        <v>45</v>
      </c>
      <c r="B8" t="s">
        <v>68</v>
      </c>
      <c r="C8" s="18">
        <v>0.16610276726343257</v>
      </c>
      <c r="D8" s="19">
        <v>0.17468098699267431</v>
      </c>
      <c r="G8" t="s">
        <v>45</v>
      </c>
      <c r="H8" t="s">
        <v>48</v>
      </c>
      <c r="I8" s="18">
        <v>0.15868622588950743</v>
      </c>
      <c r="J8" s="18">
        <v>0.16438482366438745</v>
      </c>
    </row>
    <row r="9" spans="1:10">
      <c r="A9" t="s">
        <v>45</v>
      </c>
      <c r="B9" t="s">
        <v>69</v>
      </c>
      <c r="C9" s="18">
        <v>0.17201194418672711</v>
      </c>
      <c r="D9" s="19">
        <v>0.15678804747846445</v>
      </c>
      <c r="G9" t="s">
        <v>47</v>
      </c>
      <c r="H9" t="s">
        <v>48</v>
      </c>
      <c r="I9" s="18">
        <v>0.12695168610583216</v>
      </c>
      <c r="J9" s="18">
        <v>0.13789731321324999</v>
      </c>
    </row>
    <row r="10" spans="1:10">
      <c r="A10" t="s">
        <v>45</v>
      </c>
      <c r="B10" t="s">
        <v>70</v>
      </c>
      <c r="C10" s="18">
        <v>0.16978661007948184</v>
      </c>
      <c r="D10" s="19">
        <v>0.16195605046725736</v>
      </c>
      <c r="G10" t="s">
        <v>45</v>
      </c>
      <c r="H10" t="s">
        <v>70</v>
      </c>
      <c r="I10" s="18">
        <v>0.16978661007948184</v>
      </c>
      <c r="J10" s="18">
        <v>0.16195605046725736</v>
      </c>
    </row>
    <row r="11" spans="1:10">
      <c r="A11" t="s">
        <v>47</v>
      </c>
      <c r="B11" t="s">
        <v>7</v>
      </c>
      <c r="C11" s="18">
        <v>0.13828728857621947</v>
      </c>
      <c r="D11" s="19">
        <v>0.1248768596105959</v>
      </c>
      <c r="G11" t="s">
        <v>47</v>
      </c>
      <c r="H11" t="s">
        <v>70</v>
      </c>
      <c r="I11" s="18">
        <v>0.1366363597260116</v>
      </c>
      <c r="J11" s="18">
        <v>0.1270887796335502</v>
      </c>
    </row>
    <row r="12" spans="1:10">
      <c r="A12" t="s">
        <v>47</v>
      </c>
      <c r="B12" t="s">
        <v>48</v>
      </c>
      <c r="C12" s="18">
        <v>0.12695168610583216</v>
      </c>
      <c r="D12" s="19">
        <v>0.13789731321324999</v>
      </c>
      <c r="G12" t="s">
        <v>45</v>
      </c>
      <c r="H12" t="s">
        <v>60</v>
      </c>
      <c r="I12" s="18">
        <v>0.15410891011375782</v>
      </c>
      <c r="J12" s="18">
        <v>0.1667696891841422</v>
      </c>
    </row>
    <row r="13" spans="1:10">
      <c r="A13" t="s">
        <v>47</v>
      </c>
      <c r="B13" t="s">
        <v>59</v>
      </c>
      <c r="C13" s="18">
        <v>0.12307683643029375</v>
      </c>
      <c r="D13" s="19">
        <v>0.12959885925512399</v>
      </c>
      <c r="G13" t="s">
        <v>47</v>
      </c>
      <c r="H13" t="s">
        <v>60</v>
      </c>
      <c r="I13" s="18">
        <v>0.13346514702673618</v>
      </c>
      <c r="J13" s="18">
        <v>0.15891417942679711</v>
      </c>
    </row>
    <row r="14" spans="1:10">
      <c r="A14" t="s">
        <v>47</v>
      </c>
      <c r="B14" t="s">
        <v>60</v>
      </c>
      <c r="C14" s="18">
        <v>0.13346514702673618</v>
      </c>
      <c r="D14" s="19">
        <v>0.15891417942679711</v>
      </c>
      <c r="G14" t="s">
        <v>45</v>
      </c>
      <c r="H14" t="s">
        <v>68</v>
      </c>
      <c r="I14" s="18">
        <v>0.16610276726343257</v>
      </c>
      <c r="J14" s="18">
        <v>0.17468098699267431</v>
      </c>
    </row>
    <row r="15" spans="1:10">
      <c r="A15" t="s">
        <v>47</v>
      </c>
      <c r="B15" t="s">
        <v>68</v>
      </c>
      <c r="C15" s="18">
        <v>0.13757884677547685</v>
      </c>
      <c r="D15" s="19">
        <v>0.1487676480101672</v>
      </c>
      <c r="G15" t="s">
        <v>47</v>
      </c>
      <c r="H15" t="s">
        <v>68</v>
      </c>
      <c r="I15" s="18">
        <v>0.13757884677547685</v>
      </c>
      <c r="J15" s="18">
        <v>0.1487676480101672</v>
      </c>
    </row>
    <row r="16" spans="1:10">
      <c r="A16" t="s">
        <v>47</v>
      </c>
      <c r="B16" t="s">
        <v>69</v>
      </c>
      <c r="C16" s="18">
        <v>0.13828728857621944</v>
      </c>
      <c r="D16" s="19">
        <v>0.12576362102375568</v>
      </c>
      <c r="G16" t="s">
        <v>45</v>
      </c>
      <c r="H16" t="s">
        <v>69</v>
      </c>
      <c r="I16" s="18">
        <v>0.17201194418672711</v>
      </c>
      <c r="J16" s="18">
        <v>0.15678804747846445</v>
      </c>
    </row>
    <row r="17" spans="1:10">
      <c r="A17" t="s">
        <v>47</v>
      </c>
      <c r="B17" t="s">
        <v>70</v>
      </c>
      <c r="C17" s="18">
        <v>0.1366363597260116</v>
      </c>
      <c r="D17" s="19">
        <v>0.1270887796335502</v>
      </c>
      <c r="G17" t="s">
        <v>47</v>
      </c>
      <c r="H17" t="s">
        <v>69</v>
      </c>
      <c r="I17" s="18">
        <v>0.13828728857621944</v>
      </c>
      <c r="J17" s="18">
        <v>0.12576362102375568</v>
      </c>
    </row>
  </sheetData>
  <sortState ref="G4:J17">
    <sortCondition descending="1" ref="H4:H17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/>
  <dimension ref="A1:DL120"/>
  <sheetViews>
    <sheetView zoomScale="85" zoomScaleNormal="85" workbookViewId="0">
      <selection activeCell="AD30" sqref="AD30"/>
    </sheetView>
  </sheetViews>
  <sheetFormatPr defaultRowHeight="15"/>
  <cols>
    <col min="1" max="1" width="3.44140625" bestFit="1" customWidth="1"/>
    <col min="2" max="2" width="5" bestFit="1" customWidth="1"/>
    <col min="3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10" width="6.109375" customWidth="1"/>
    <col min="11" max="11" width="8.44140625" bestFit="1" customWidth="1"/>
    <col min="12" max="12" width="8.6640625" bestFit="1" customWidth="1"/>
    <col min="13" max="15" width="7" customWidth="1"/>
    <col min="16" max="19" width="5.5546875" customWidth="1"/>
    <col min="20" max="22" width="7.77734375" customWidth="1"/>
    <col min="23" max="23" width="8.44140625" customWidth="1"/>
    <col min="24" max="24" width="5.109375" customWidth="1"/>
    <col min="25" max="25" width="10" bestFit="1" customWidth="1"/>
  </cols>
  <sheetData>
    <row r="1" spans="1:47">
      <c r="J1">
        <f>3800/K4</f>
        <v>0.74773711137347498</v>
      </c>
      <c r="K1" s="18">
        <f>K12/K4</f>
        <v>0.71467926013380556</v>
      </c>
      <c r="L1" s="18">
        <f>K11/K4</f>
        <v>0.85182998819362454</v>
      </c>
    </row>
    <row r="2" spans="1:47" ht="15.75">
      <c r="C2" s="47" t="s">
        <v>28</v>
      </c>
      <c r="D2" s="47"/>
      <c r="F2" s="47" t="s">
        <v>23</v>
      </c>
      <c r="G2" s="47"/>
      <c r="H2" s="47"/>
      <c r="I2" s="47"/>
      <c r="J2" s="14"/>
      <c r="M2" s="47" t="s">
        <v>11</v>
      </c>
      <c r="N2" s="47"/>
      <c r="O2" s="47"/>
      <c r="P2" s="47"/>
      <c r="Q2" s="47"/>
      <c r="R2" s="47"/>
      <c r="S2" s="47"/>
      <c r="T2" s="47" t="s">
        <v>19</v>
      </c>
      <c r="U2" s="47"/>
      <c r="V2" s="47"/>
    </row>
    <row r="3" spans="1:47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K3" s="1" t="s">
        <v>2</v>
      </c>
      <c r="L3" s="1" t="s">
        <v>3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20</v>
      </c>
      <c r="U3" s="1" t="s">
        <v>21</v>
      </c>
      <c r="V3" s="1" t="s">
        <v>22</v>
      </c>
      <c r="W3" s="1" t="s">
        <v>46</v>
      </c>
      <c r="AO3" s="1" t="s">
        <v>61</v>
      </c>
    </row>
    <row r="4" spans="1:47" s="1" customFormat="1" ht="15.75">
      <c r="J4" s="1" t="s">
        <v>64</v>
      </c>
      <c r="K4" s="1">
        <v>5082</v>
      </c>
      <c r="L4" s="1">
        <v>16515</v>
      </c>
      <c r="M4" s="1">
        <v>6776</v>
      </c>
      <c r="N4" s="1">
        <v>9592</v>
      </c>
      <c r="O4" s="1">
        <v>8190</v>
      </c>
      <c r="P4" s="1">
        <v>2092</v>
      </c>
      <c r="Q4" s="1">
        <v>514</v>
      </c>
      <c r="R4" s="1">
        <v>528</v>
      </c>
      <c r="S4" s="1">
        <v>6052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56</v>
      </c>
      <c r="AH4" s="1" t="s">
        <v>57</v>
      </c>
      <c r="AI4" s="1" t="s">
        <v>58</v>
      </c>
      <c r="AJ4" s="1" t="s">
        <v>62</v>
      </c>
      <c r="AK4" s="1" t="s">
        <v>63</v>
      </c>
      <c r="AL4" s="1" t="s">
        <v>66</v>
      </c>
      <c r="AM4" s="1" t="s">
        <v>67</v>
      </c>
      <c r="AO4" s="1" t="s">
        <v>17</v>
      </c>
      <c r="AP4" s="1" t="s">
        <v>15</v>
      </c>
      <c r="AQ4" s="1" t="s">
        <v>16</v>
      </c>
      <c r="AR4" s="1" t="s">
        <v>12</v>
      </c>
      <c r="AS4" s="1" t="s">
        <v>13</v>
      </c>
      <c r="AT4" s="1" t="s">
        <v>18</v>
      </c>
      <c r="AU4" s="1" t="s">
        <v>14</v>
      </c>
    </row>
    <row r="5" spans="1:47" s="9" customFormat="1" ht="15.75">
      <c r="A5" s="9">
        <v>1</v>
      </c>
      <c r="B5" s="9">
        <v>2020</v>
      </c>
      <c r="C5" s="9" t="s">
        <v>4</v>
      </c>
      <c r="D5" s="9" t="s">
        <v>5</v>
      </c>
      <c r="E5" s="9" t="s">
        <v>6</v>
      </c>
      <c r="F5" s="9" t="s">
        <v>7</v>
      </c>
      <c r="G5" s="9" t="s">
        <v>8</v>
      </c>
      <c r="H5" s="9" t="s">
        <v>9</v>
      </c>
      <c r="I5" s="9" t="s">
        <v>47</v>
      </c>
      <c r="J5" s="9">
        <v>0.5</v>
      </c>
      <c r="K5" s="9">
        <v>2918</v>
      </c>
      <c r="L5" s="9">
        <v>6165</v>
      </c>
      <c r="M5" s="9">
        <v>5089</v>
      </c>
      <c r="N5" s="9">
        <v>9583</v>
      </c>
      <c r="O5" s="9">
        <v>8833</v>
      </c>
      <c r="P5" s="9">
        <v>2324</v>
      </c>
      <c r="Q5" s="9">
        <v>551</v>
      </c>
      <c r="R5" s="9">
        <v>520</v>
      </c>
      <c r="S5" s="9">
        <v>6128</v>
      </c>
      <c r="T5" s="9">
        <v>329951</v>
      </c>
      <c r="U5" s="9">
        <v>47021</v>
      </c>
      <c r="V5" s="9">
        <v>71932</v>
      </c>
      <c r="W5" s="9">
        <f>SUM(T5:V5)</f>
        <v>448904</v>
      </c>
      <c r="Y5" s="8">
        <f>M5+N5+O5+P5+Q5+R5+S5</f>
        <v>33028</v>
      </c>
      <c r="Z5" s="9">
        <v>256.58445945945942</v>
      </c>
      <c r="AA5" s="9">
        <v>264</v>
      </c>
      <c r="AB5" s="9">
        <v>926.63561776061783</v>
      </c>
      <c r="AC5" s="9">
        <v>1397.64333976834</v>
      </c>
      <c r="AD5" s="9">
        <v>249.57220077220074</v>
      </c>
      <c r="AE5" s="9">
        <v>301.62471042471037</v>
      </c>
      <c r="AF5" s="9">
        <v>2330.6072393822396</v>
      </c>
      <c r="AG5" s="9">
        <v>2758.6852316602317</v>
      </c>
      <c r="AH5" s="9">
        <v>4396.9537932046187</v>
      </c>
      <c r="AI5" s="9">
        <v>5186.340154440154</v>
      </c>
      <c r="AJ5" s="9">
        <v>2757.6000000000172</v>
      </c>
      <c r="AK5" s="9">
        <v>3370.4</v>
      </c>
      <c r="AO5" s="9">
        <f>2*AA5/SUM(Z5:AA5)</f>
        <v>1.0142446444679514</v>
      </c>
      <c r="AP5" s="9">
        <f>2*AC5/SUM(AB5:AC5)</f>
        <v>1.2026468124585488</v>
      </c>
      <c r="AQ5" s="9">
        <f>2*AE5/SUM(AD5:AE5)</f>
        <v>1.0944354160829364</v>
      </c>
      <c r="AR5" s="9">
        <f>2*AG5/SUM(AF5:AG5)</f>
        <v>1.0841134587398367</v>
      </c>
      <c r="AS5" s="9">
        <f>2*AI5/SUM(AH5:AI5)</f>
        <v>1.0823710892672282</v>
      </c>
      <c r="AT5" s="9">
        <f>2*AK5/SUM(AJ5:AK5)</f>
        <v>1.099999999999997</v>
      </c>
      <c r="AU5" s="9" t="e">
        <f>2*AM5/SUM(AL5:AM5)</f>
        <v>#DIV/0!</v>
      </c>
    </row>
    <row r="6" spans="1:47" s="5" customFormat="1" ht="15.75" hidden="1">
      <c r="A6" s="5">
        <v>2</v>
      </c>
      <c r="B6" s="5">
        <v>2020</v>
      </c>
      <c r="C6" s="5" t="s">
        <v>4</v>
      </c>
      <c r="D6" s="5" t="s">
        <v>5</v>
      </c>
      <c r="E6" s="5" t="s">
        <v>6</v>
      </c>
      <c r="F6" s="5" t="s">
        <v>48</v>
      </c>
      <c r="G6" s="5" t="s">
        <v>8</v>
      </c>
      <c r="H6" s="5" t="s">
        <v>9</v>
      </c>
      <c r="I6" s="9" t="s">
        <v>47</v>
      </c>
      <c r="J6" s="9">
        <v>0.5</v>
      </c>
      <c r="K6" s="5">
        <v>2612</v>
      </c>
      <c r="L6" s="5">
        <v>6165</v>
      </c>
      <c r="M6" s="5">
        <v>6124</v>
      </c>
      <c r="N6" s="5">
        <v>9391</v>
      </c>
      <c r="O6" s="5">
        <v>8552</v>
      </c>
      <c r="P6" s="5">
        <v>2206</v>
      </c>
      <c r="Q6" s="5">
        <v>538</v>
      </c>
      <c r="R6" s="5">
        <v>520</v>
      </c>
      <c r="S6" s="5">
        <v>5724</v>
      </c>
      <c r="T6" s="5">
        <v>320577</v>
      </c>
      <c r="U6" s="5">
        <v>47021</v>
      </c>
      <c r="V6" s="5">
        <v>71932</v>
      </c>
      <c r="W6" s="9">
        <f>SUM(T6:V6)</f>
        <v>439530</v>
      </c>
      <c r="Y6" s="4">
        <f t="shared" ref="Y6:Y11" si="0">M6+N6+O6+P6+Q6+R6+S6</f>
        <v>33055</v>
      </c>
      <c r="Z6" s="5">
        <v>256.58445945945942</v>
      </c>
      <c r="AA6" s="5">
        <v>264</v>
      </c>
      <c r="AB6" s="5">
        <v>867.7596525096526</v>
      </c>
      <c r="AC6" s="5">
        <v>1338.7673745173747</v>
      </c>
      <c r="AD6" s="5">
        <v>243.06563706563705</v>
      </c>
      <c r="AE6" s="5">
        <v>295.1181467181467</v>
      </c>
      <c r="AF6" s="5">
        <v>2755.8000000000006</v>
      </c>
      <c r="AG6" s="5">
        <v>3368.2000000000003</v>
      </c>
      <c r="AH6" s="5">
        <v>4303.2316602316596</v>
      </c>
      <c r="AI6" s="5">
        <v>5088.216988416988</v>
      </c>
      <c r="AJ6" s="5">
        <v>2372.1389077121598</v>
      </c>
      <c r="AK6" s="5">
        <v>3370.4</v>
      </c>
      <c r="AO6" s="9">
        <f>2*AA6/SUM(Z6:AA6)</f>
        <v>1.0142446444679514</v>
      </c>
      <c r="AP6" s="9">
        <f>2*AC6/SUM(AB6:AC6)</f>
        <v>1.213461116151537</v>
      </c>
      <c r="AQ6" s="9">
        <f>2*AE6/SUM(AD6:AE6)</f>
        <v>1.0967188369864036</v>
      </c>
      <c r="AR6" s="9">
        <f>2*AG6/SUM(AF6:AG6)</f>
        <v>1.0999999999999999</v>
      </c>
      <c r="AS6" s="9">
        <f>2*AI6/SUM(AH6:AI6)</f>
        <v>1.0835851163705486</v>
      </c>
      <c r="AT6" s="9">
        <f>2*AK6/SUM(AJ6:AK6)</f>
        <v>1.1738361913311877</v>
      </c>
      <c r="AU6" s="9" t="e">
        <f t="shared" ref="AU6:AU13" si="1">2*AM6/SUM(AL6:AM6)</f>
        <v>#DIV/0!</v>
      </c>
    </row>
    <row r="7" spans="1:47" s="5" customFormat="1" ht="15.75" hidden="1">
      <c r="A7" s="5">
        <v>3</v>
      </c>
      <c r="B7" s="5">
        <v>2020</v>
      </c>
      <c r="C7" s="5" t="s">
        <v>4</v>
      </c>
      <c r="D7" s="5" t="s">
        <v>5</v>
      </c>
      <c r="E7" s="5" t="s">
        <v>6</v>
      </c>
      <c r="F7" s="5" t="s">
        <v>59</v>
      </c>
      <c r="G7" s="5" t="s">
        <v>8</v>
      </c>
      <c r="H7" s="5" t="s">
        <v>9</v>
      </c>
      <c r="I7" s="9" t="s">
        <v>47</v>
      </c>
      <c r="J7" s="9">
        <v>0.5</v>
      </c>
      <c r="K7" s="5">
        <v>2197</v>
      </c>
      <c r="L7" s="5">
        <v>6165</v>
      </c>
      <c r="M7" s="5">
        <v>4910</v>
      </c>
      <c r="N7" s="5">
        <v>11504</v>
      </c>
      <c r="O7" s="5">
        <v>8334</v>
      </c>
      <c r="P7" s="5">
        <v>2088</v>
      </c>
      <c r="Q7" s="5">
        <v>525</v>
      </c>
      <c r="R7" s="5">
        <v>518</v>
      </c>
      <c r="S7" s="5">
        <v>5208</v>
      </c>
      <c r="T7" s="5">
        <v>315095</v>
      </c>
      <c r="U7" s="5">
        <v>47021</v>
      </c>
      <c r="V7" s="5">
        <v>71932</v>
      </c>
      <c r="W7" s="9">
        <f t="shared" ref="W7:W14" si="2">SUM(T7:V7)</f>
        <v>434048</v>
      </c>
      <c r="Y7" s="4">
        <f t="shared" si="0"/>
        <v>33087</v>
      </c>
      <c r="Z7" s="5">
        <v>254.72601351351349</v>
      </c>
      <c r="AA7" s="5">
        <v>264</v>
      </c>
      <c r="AB7" s="5">
        <v>808.88368725868736</v>
      </c>
      <c r="AC7" s="5">
        <v>1279.8914092664095</v>
      </c>
      <c r="AD7" s="5">
        <v>236.55907335907335</v>
      </c>
      <c r="AE7" s="5">
        <v>288.61158301158298</v>
      </c>
      <c r="AF7" s="5">
        <v>2223.5877413127414</v>
      </c>
      <c r="AG7" s="5">
        <v>2687.2008582682402</v>
      </c>
      <c r="AH7" s="5">
        <v>5176.7999999999756</v>
      </c>
      <c r="AI7" s="5">
        <v>6327.2000000000007</v>
      </c>
      <c r="AJ7" s="5">
        <v>1838</v>
      </c>
      <c r="AK7" s="5">
        <v>3370.4</v>
      </c>
      <c r="AO7" s="9">
        <f>2*AA7/SUM(Z7:AA7)</f>
        <v>1.0178783909904008</v>
      </c>
      <c r="AP7" s="9">
        <f>2*AC7/SUM(AB7:AC7)</f>
        <v>1.2254947039493596</v>
      </c>
      <c r="AQ7" s="9">
        <f>2*AE7/SUM(AD7:AE7)</f>
        <v>1.0991154189996706</v>
      </c>
      <c r="AR7" s="9">
        <f>2*AG7/SUM(AF7:AG7)</f>
        <v>1.0944070606083629</v>
      </c>
      <c r="AS7" s="9">
        <f>2*AI7/SUM(AH7:AI7)</f>
        <v>1.1000000000000023</v>
      </c>
      <c r="AT7" s="9">
        <f>2*AK7/SUM(AJ7:AK7)</f>
        <v>1.2942170340219648</v>
      </c>
      <c r="AU7" s="9" t="e">
        <f t="shared" si="1"/>
        <v>#DIV/0!</v>
      </c>
    </row>
    <row r="8" spans="1:47" s="5" customFormat="1" ht="15.75" hidden="1">
      <c r="A8" s="5">
        <v>4</v>
      </c>
      <c r="B8" s="5">
        <v>2020</v>
      </c>
      <c r="C8" s="5" t="s">
        <v>4</v>
      </c>
      <c r="D8" s="5" t="s">
        <v>5</v>
      </c>
      <c r="E8" s="5" t="s">
        <v>6</v>
      </c>
      <c r="F8" s="5" t="s">
        <v>60</v>
      </c>
      <c r="G8" s="5" t="s">
        <v>8</v>
      </c>
      <c r="H8" s="5" t="s">
        <v>9</v>
      </c>
      <c r="I8" s="9" t="s">
        <v>47</v>
      </c>
      <c r="J8" s="9">
        <v>0.5</v>
      </c>
      <c r="K8" s="5">
        <v>2381</v>
      </c>
      <c r="L8" s="5">
        <v>6165</v>
      </c>
      <c r="M8" s="5">
        <v>4740</v>
      </c>
      <c r="N8" s="5">
        <v>8999</v>
      </c>
      <c r="O8" s="5">
        <v>11210</v>
      </c>
      <c r="P8" s="5">
        <v>1912</v>
      </c>
      <c r="Q8" s="5">
        <v>505</v>
      </c>
      <c r="R8" s="5">
        <v>515</v>
      </c>
      <c r="S8" s="5">
        <v>5208</v>
      </c>
      <c r="T8" s="5">
        <v>315586</v>
      </c>
      <c r="U8" s="5">
        <v>47021</v>
      </c>
      <c r="V8" s="5">
        <v>71932</v>
      </c>
      <c r="W8" s="9">
        <f t="shared" si="2"/>
        <v>434539</v>
      </c>
      <c r="Y8" s="4">
        <f t="shared" si="0"/>
        <v>33089</v>
      </c>
      <c r="Z8" s="5">
        <v>251.0091216216216</v>
      </c>
      <c r="AA8" s="5">
        <v>264</v>
      </c>
      <c r="AB8" s="5">
        <v>691.13175675675677</v>
      </c>
      <c r="AC8" s="5">
        <v>1221.015444015444</v>
      </c>
      <c r="AD8" s="5">
        <v>223.54594594594593</v>
      </c>
      <c r="AE8" s="5">
        <v>282.10501930501925</v>
      </c>
      <c r="AF8" s="5">
        <v>2141.8169032432384</v>
      </c>
      <c r="AG8" s="5">
        <v>2598.1559845559846</v>
      </c>
      <c r="AH8" s="5">
        <v>4106.9853281853275</v>
      </c>
      <c r="AI8" s="5">
        <v>4891.9706563706559</v>
      </c>
      <c r="AJ8" s="5">
        <v>1838</v>
      </c>
      <c r="AK8" s="5">
        <v>3370.4</v>
      </c>
      <c r="AO8" s="9">
        <f>2*AA8/SUM(Z8:AA8)</f>
        <v>1.0252245597854146</v>
      </c>
      <c r="AP8" s="9">
        <f>2*AC8/SUM(AB8:AC8)</f>
        <v>1.2771144852471081</v>
      </c>
      <c r="AQ8" s="9">
        <f>2*AE8/SUM(AD8:AE8)</f>
        <v>1.1158092783032842</v>
      </c>
      <c r="AR8" s="9">
        <f>2*AG8/SUM(AF8:AG8)</f>
        <v>1.096274618466146</v>
      </c>
      <c r="AS8" s="9">
        <f>2*AI8/SUM(AH8:AI8)</f>
        <v>1.0872307109327484</v>
      </c>
      <c r="AT8" s="9">
        <f>2*AK8/SUM(AJ8:AK8)</f>
        <v>1.2942170340219648</v>
      </c>
      <c r="AU8" s="9" t="e">
        <f t="shared" si="1"/>
        <v>#DIV/0!</v>
      </c>
    </row>
    <row r="9" spans="1:47" s="1" customFormat="1" ht="15.75" hidden="1">
      <c r="A9" s="1">
        <v>5</v>
      </c>
      <c r="B9" s="7">
        <v>2020</v>
      </c>
      <c r="C9" s="7" t="s">
        <v>4</v>
      </c>
      <c r="D9" s="7" t="s">
        <v>39</v>
      </c>
      <c r="E9" s="7" t="s">
        <v>6</v>
      </c>
      <c r="F9" s="7" t="s">
        <v>7</v>
      </c>
      <c r="G9" s="7" t="s">
        <v>8</v>
      </c>
      <c r="H9" s="7" t="s">
        <v>9</v>
      </c>
      <c r="I9" s="9" t="s">
        <v>47</v>
      </c>
      <c r="J9" s="9">
        <v>0.5</v>
      </c>
      <c r="K9" s="7">
        <v>1799</v>
      </c>
      <c r="L9" s="7">
        <v>14299</v>
      </c>
      <c r="M9" s="7">
        <v>4572</v>
      </c>
      <c r="N9" s="7">
        <v>8563</v>
      </c>
      <c r="O9" s="11">
        <v>7479</v>
      </c>
      <c r="P9" s="11">
        <v>1755</v>
      </c>
      <c r="Q9" s="11">
        <v>483</v>
      </c>
      <c r="R9" s="7">
        <v>512</v>
      </c>
      <c r="S9" s="7">
        <v>5208</v>
      </c>
      <c r="T9" s="1">
        <v>356947</v>
      </c>
      <c r="U9" s="1">
        <v>89447</v>
      </c>
      <c r="V9" s="7">
        <v>35475</v>
      </c>
      <c r="W9" s="9">
        <f t="shared" si="2"/>
        <v>481869</v>
      </c>
      <c r="Y9" s="8">
        <f t="shared" si="0"/>
        <v>28572</v>
      </c>
      <c r="Z9" s="1">
        <v>249.6335347432024</v>
      </c>
      <c r="AA9" s="1">
        <v>262.72126132930509</v>
      </c>
      <c r="AB9" s="1">
        <v>693.62197885196383</v>
      </c>
      <c r="AC9" s="1">
        <v>1062.1748489425984</v>
      </c>
      <c r="AD9" s="1">
        <v>218.72990936555891</v>
      </c>
      <c r="AE9" s="1">
        <v>264.55105740181267</v>
      </c>
      <c r="AF9" s="1">
        <v>2118.7726383685795</v>
      </c>
      <c r="AG9" s="1">
        <v>2453.7928247734139</v>
      </c>
      <c r="AH9" s="1">
        <v>3936.2332326283986</v>
      </c>
      <c r="AI9" s="1">
        <v>4627.2456193353473</v>
      </c>
      <c r="AJ9" s="1">
        <v>1838</v>
      </c>
      <c r="AK9" s="1">
        <v>3370.4</v>
      </c>
      <c r="AO9" s="9">
        <f>2*AA9/SUM(Z9:AA9)</f>
        <v>1.0255442648071758</v>
      </c>
      <c r="AP9" s="9">
        <f>2*AC9/SUM(AB9:AC9)</f>
        <v>1.2099063309925044</v>
      </c>
      <c r="AQ9" s="9">
        <f>2*AE9/SUM(AD9:AE9)</f>
        <v>1.0948126476876336</v>
      </c>
      <c r="AR9" s="9">
        <f>2*AG9/SUM(AF9:AG9)</f>
        <v>1.0732674445243764</v>
      </c>
      <c r="AS9" s="9">
        <f>2*AI9/SUM(AH9:AI9)</f>
        <v>1.0806929518543142</v>
      </c>
      <c r="AT9" s="9">
        <f>2*AK9/SUM(AJ9:AK9)</f>
        <v>1.2942170340219648</v>
      </c>
      <c r="AU9" s="9" t="e">
        <f t="shared" si="1"/>
        <v>#DIV/0!</v>
      </c>
    </row>
    <row r="10" spans="1:47" ht="15.75">
      <c r="A10" s="9"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7</v>
      </c>
      <c r="G10" s="7" t="s">
        <v>8</v>
      </c>
      <c r="H10" s="7" t="s">
        <v>9</v>
      </c>
      <c r="I10" s="9" t="s">
        <v>47</v>
      </c>
      <c r="J10" s="9">
        <v>0.8</v>
      </c>
      <c r="K10" s="5">
        <v>2918</v>
      </c>
      <c r="L10" s="5">
        <v>6165</v>
      </c>
      <c r="M10" s="5">
        <v>5089</v>
      </c>
      <c r="N10" s="5">
        <v>9583</v>
      </c>
      <c r="O10" s="5">
        <v>8833</v>
      </c>
      <c r="P10" s="5">
        <v>2324</v>
      </c>
      <c r="Q10" s="5">
        <v>551</v>
      </c>
      <c r="R10" s="5">
        <v>520</v>
      </c>
      <c r="S10" s="5">
        <v>6128</v>
      </c>
      <c r="T10" s="5">
        <v>329951</v>
      </c>
      <c r="U10" s="5">
        <v>47021</v>
      </c>
      <c r="V10" s="5">
        <v>71932</v>
      </c>
      <c r="W10" s="9">
        <f t="shared" si="2"/>
        <v>448904</v>
      </c>
      <c r="Y10" s="4">
        <f t="shared" si="0"/>
        <v>33028</v>
      </c>
      <c r="AJ10">
        <v>2757.6000000000067</v>
      </c>
      <c r="AK10">
        <v>3370.4</v>
      </c>
      <c r="AO10" s="9" t="e">
        <f t="shared" ref="AO10:AO12" si="3">2*AA10/SUM(Z10:AA10)</f>
        <v>#DIV/0!</v>
      </c>
      <c r="AP10" s="9" t="e">
        <f t="shared" ref="AP10:AP12" si="4">2*AC10/SUM(AB10:AC10)</f>
        <v>#DIV/0!</v>
      </c>
      <c r="AQ10" s="9" t="e">
        <f t="shared" ref="AQ10:AQ12" si="5">2*AE10/SUM(AD10:AE10)</f>
        <v>#DIV/0!</v>
      </c>
      <c r="AR10" s="9" t="e">
        <f t="shared" ref="AR10:AR12" si="6">2*AG10/SUM(AF10:AG10)</f>
        <v>#DIV/0!</v>
      </c>
      <c r="AS10" s="9" t="e">
        <f t="shared" ref="AS10:AS12" si="7">2*AI10/SUM(AH10:AI10)</f>
        <v>#DIV/0!</v>
      </c>
      <c r="AT10" s="9">
        <f t="shared" ref="AT10:AT12" si="8">2*AK10/SUM(AJ10:AK10)</f>
        <v>1.0999999999999988</v>
      </c>
      <c r="AU10" s="9" t="e">
        <f t="shared" si="1"/>
        <v>#DIV/0!</v>
      </c>
    </row>
    <row r="11" spans="1:47" ht="15.75">
      <c r="A11" s="5"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7</v>
      </c>
      <c r="G11" s="7" t="s">
        <v>8</v>
      </c>
      <c r="H11" s="7" t="s">
        <v>9</v>
      </c>
      <c r="I11" t="s">
        <v>65</v>
      </c>
      <c r="J11" s="9">
        <v>0.5</v>
      </c>
      <c r="K11" s="5">
        <v>4329</v>
      </c>
      <c r="L11" s="5">
        <v>6165</v>
      </c>
      <c r="M11" s="5">
        <v>5057</v>
      </c>
      <c r="N11" s="5">
        <v>9587</v>
      </c>
      <c r="O11" s="5">
        <v>8833</v>
      </c>
      <c r="P11" s="5">
        <v>2324</v>
      </c>
      <c r="Q11" s="5">
        <v>544</v>
      </c>
      <c r="R11" s="5">
        <v>528</v>
      </c>
      <c r="S11" s="5">
        <v>6128</v>
      </c>
      <c r="T11" s="5">
        <v>327844</v>
      </c>
      <c r="U11" s="5">
        <v>47021</v>
      </c>
      <c r="V11" s="5">
        <v>71845</v>
      </c>
      <c r="W11" s="9">
        <f t="shared" si="2"/>
        <v>446710</v>
      </c>
      <c r="Y11" s="4">
        <f t="shared" si="0"/>
        <v>33001</v>
      </c>
      <c r="Z11">
        <v>264</v>
      </c>
      <c r="AA11">
        <v>264</v>
      </c>
      <c r="AB11">
        <v>1162.1394787644788</v>
      </c>
      <c r="AC11">
        <v>1162.1394787644788</v>
      </c>
      <c r="AD11">
        <v>269.09189189189186</v>
      </c>
      <c r="AE11">
        <v>275.59845559845559</v>
      </c>
      <c r="AF11">
        <v>2513.1957456370615</v>
      </c>
      <c r="AG11">
        <v>2544.6462355212357</v>
      </c>
      <c r="AH11">
        <v>4793.8474903474898</v>
      </c>
      <c r="AI11">
        <v>4793.8474903474898</v>
      </c>
      <c r="AJ11">
        <v>2757.6000000000008</v>
      </c>
      <c r="AK11">
        <v>3370.4</v>
      </c>
      <c r="AO11" s="9">
        <f t="shared" si="3"/>
        <v>1</v>
      </c>
      <c r="AP11" s="9">
        <f t="shared" si="4"/>
        <v>1</v>
      </c>
      <c r="AQ11" s="9">
        <f t="shared" si="5"/>
        <v>1.0119454360381868</v>
      </c>
      <c r="AR11" s="9">
        <f t="shared" si="6"/>
        <v>1.0062181637942298</v>
      </c>
      <c r="AS11" s="9">
        <f t="shared" si="7"/>
        <v>1</v>
      </c>
      <c r="AT11" s="9">
        <f t="shared" si="8"/>
        <v>1.0999999999999999</v>
      </c>
      <c r="AU11" s="9" t="e">
        <f t="shared" si="1"/>
        <v>#DIV/0!</v>
      </c>
    </row>
    <row r="12" spans="1:47" ht="16.5" customHeight="1">
      <c r="A12" s="5">
        <v>8</v>
      </c>
      <c r="B12" s="9">
        <v>2020</v>
      </c>
      <c r="C12" s="9" t="s">
        <v>4</v>
      </c>
      <c r="D12" s="9" t="s">
        <v>5</v>
      </c>
      <c r="E12" s="7" t="s">
        <v>6</v>
      </c>
      <c r="F12" s="7" t="s">
        <v>7</v>
      </c>
      <c r="G12" s="7" t="s">
        <v>8</v>
      </c>
      <c r="H12" s="7" t="s">
        <v>9</v>
      </c>
      <c r="I12" s="9" t="s">
        <v>45</v>
      </c>
      <c r="J12" s="9">
        <v>0.5</v>
      </c>
      <c r="K12" s="5">
        <v>3632</v>
      </c>
      <c r="L12" s="5">
        <v>6265</v>
      </c>
      <c r="M12" s="5">
        <v>5089</v>
      </c>
      <c r="N12" s="5">
        <v>9579</v>
      </c>
      <c r="O12" s="5">
        <v>8833</v>
      </c>
      <c r="P12" s="5">
        <v>2324</v>
      </c>
      <c r="Q12" s="5">
        <v>551</v>
      </c>
      <c r="R12" s="5">
        <v>524</v>
      </c>
      <c r="S12" s="5">
        <v>6128</v>
      </c>
      <c r="T12" s="5">
        <v>328502</v>
      </c>
      <c r="U12" s="5">
        <v>47021</v>
      </c>
      <c r="V12" s="5">
        <v>71932</v>
      </c>
      <c r="W12" s="9">
        <f t="shared" si="2"/>
        <v>447455</v>
      </c>
      <c r="Y12" s="2">
        <f t="shared" ref="Y12:Y37" si="9">L12+M12+N12+O12+P12+Q12+R12+S12</f>
        <v>39293</v>
      </c>
      <c r="Z12">
        <v>260.30135135135134</v>
      </c>
      <c r="AA12">
        <v>264</v>
      </c>
      <c r="AB12">
        <v>1044.3875482625483</v>
      </c>
      <c r="AC12">
        <v>1279.8914092664095</v>
      </c>
      <c r="AD12">
        <v>262.58532818532814</v>
      </c>
      <c r="AE12">
        <v>288.61158301158298</v>
      </c>
      <c r="AF12">
        <v>2437.6267374517374</v>
      </c>
      <c r="AG12">
        <v>2651.6657335907339</v>
      </c>
      <c r="AH12">
        <v>4589.4832333590666</v>
      </c>
      <c r="AI12">
        <v>4990.0938223938219</v>
      </c>
      <c r="AJ12">
        <v>2757.6000000000072</v>
      </c>
      <c r="AK12">
        <v>3370.4</v>
      </c>
      <c r="AL12">
        <v>4136.1677123552126</v>
      </c>
      <c r="AM12">
        <v>4696.8347007722014</v>
      </c>
      <c r="AO12" s="9">
        <f t="shared" si="3"/>
        <v>1.0070544327973134</v>
      </c>
      <c r="AP12" s="9">
        <f t="shared" si="4"/>
        <v>1.1013234062292743</v>
      </c>
      <c r="AQ12" s="9">
        <f t="shared" si="5"/>
        <v>1.0472177080414684</v>
      </c>
      <c r="AR12" s="9">
        <f t="shared" si="6"/>
        <v>1.0420567293699183</v>
      </c>
      <c r="AS12" s="9">
        <f t="shared" si="7"/>
        <v>1.0418192355156404</v>
      </c>
      <c r="AT12" s="9">
        <f t="shared" si="8"/>
        <v>1.0999999999999988</v>
      </c>
      <c r="AU12" s="9">
        <f t="shared" si="1"/>
        <v>1.0634741124471716</v>
      </c>
    </row>
    <row r="13" spans="1:47" ht="15.75" hidden="1">
      <c r="A13" s="5">
        <v>9</v>
      </c>
      <c r="B13" s="9">
        <v>2020</v>
      </c>
      <c r="C13" s="9" t="s">
        <v>4</v>
      </c>
      <c r="D13" s="9" t="s">
        <v>39</v>
      </c>
      <c r="E13" s="7" t="s">
        <v>6</v>
      </c>
      <c r="F13" s="7" t="s">
        <v>7</v>
      </c>
      <c r="G13" s="7" t="s">
        <v>8</v>
      </c>
      <c r="H13" s="7" t="s">
        <v>9</v>
      </c>
      <c r="I13" s="9" t="s">
        <v>45</v>
      </c>
      <c r="J13" s="9">
        <v>0.5</v>
      </c>
      <c r="K13" s="5">
        <v>2642</v>
      </c>
      <c r="L13" s="5">
        <v>14299</v>
      </c>
      <c r="M13" s="5">
        <f t="shared" ref="M13:M41" si="10">SUM(AF13:AG13)</f>
        <v>4447.0138217522654</v>
      </c>
      <c r="N13" s="5">
        <f t="shared" ref="N13:N41" si="11">SUM(AH13:AI13)</f>
        <v>8409.9205438066456</v>
      </c>
      <c r="O13">
        <f t="shared" ref="O13:O41" si="12">SUM(AL13:AM13)</f>
        <v>7250.7489223564971</v>
      </c>
      <c r="P13">
        <f t="shared" ref="P13:P41" si="13">SUM(AB13:AC13)</f>
        <v>1663.6586102719034</v>
      </c>
      <c r="Q13">
        <f t="shared" ref="Q13:Q41" si="14">SUM(AD13:AE13)</f>
        <v>473.09848942598182</v>
      </c>
      <c r="R13">
        <f t="shared" ref="R13:R41" si="15">SUM(Z13:AA13)</f>
        <v>509.44641238670687</v>
      </c>
      <c r="S13">
        <f t="shared" ref="S13:S41" si="16">SUM(AJ13:AK13)</f>
        <v>5821.6</v>
      </c>
      <c r="T13" s="5">
        <v>345494</v>
      </c>
      <c r="U13" s="5">
        <v>89447</v>
      </c>
      <c r="V13" s="5">
        <v>35475</v>
      </c>
      <c r="W13" s="9">
        <f t="shared" si="2"/>
        <v>470416</v>
      </c>
      <c r="Y13" s="2">
        <f t="shared" si="9"/>
        <v>42874.486799999999</v>
      </c>
      <c r="Z13">
        <v>251.08772658610269</v>
      </c>
      <c r="AA13">
        <v>258.35868580060418</v>
      </c>
      <c r="AB13">
        <v>739.69108761329312</v>
      </c>
      <c r="AC13">
        <v>923.96752265861028</v>
      </c>
      <c r="AD13">
        <v>223.82114803625376</v>
      </c>
      <c r="AE13">
        <v>249.27734138972809</v>
      </c>
      <c r="AF13">
        <v>2118.8314954682778</v>
      </c>
      <c r="AG13">
        <v>2328.182326283988</v>
      </c>
      <c r="AH13">
        <v>4013.0123867069483</v>
      </c>
      <c r="AI13">
        <v>4396.9081570996977</v>
      </c>
      <c r="AJ13">
        <v>2451.2000000000003</v>
      </c>
      <c r="AK13">
        <v>3370.4</v>
      </c>
      <c r="AL13">
        <v>3401.2666716012095</v>
      </c>
      <c r="AM13">
        <v>3849.4822507552872</v>
      </c>
      <c r="AO13" s="9">
        <f t="shared" ref="AO13" si="17">2*AA13/SUM(Z13:AA13)</f>
        <v>1.0142722748413082</v>
      </c>
      <c r="AP13" s="9">
        <f t="shared" ref="AP13" si="18">2*AC13/SUM(AB13:AC13)</f>
        <v>1.1107657748455975</v>
      </c>
      <c r="AQ13" s="9">
        <f t="shared" ref="AQ13" si="19">2*AE13/SUM(AD13:AE13)</f>
        <v>1.0538073866698683</v>
      </c>
      <c r="AR13" s="9">
        <f t="shared" ref="AR13" si="20">2*AG13/SUM(AF13:AG13)</f>
        <v>1.0470767214150956</v>
      </c>
      <c r="AS13" s="9">
        <f t="shared" ref="AS13" si="21">2*AI13/SUM(AH13:AI13)</f>
        <v>1.0456479663979066</v>
      </c>
      <c r="AT13" s="9">
        <f t="shared" ref="AT13" si="22">2*AK13/SUM(AJ13:AK13)</f>
        <v>1.1578947368421053</v>
      </c>
      <c r="AU13" s="9">
        <f t="shared" si="1"/>
        <v>1.0618164528869669</v>
      </c>
    </row>
    <row r="14" spans="1:47" ht="15.75" hidden="1">
      <c r="A14" s="5">
        <v>10</v>
      </c>
      <c r="B14" s="9">
        <v>2020</v>
      </c>
      <c r="C14" s="9" t="s">
        <v>4</v>
      </c>
      <c r="D14" s="9" t="s">
        <v>39</v>
      </c>
      <c r="E14" s="7" t="s">
        <v>6</v>
      </c>
      <c r="F14" s="7" t="s">
        <v>7</v>
      </c>
      <c r="G14" s="7" t="s">
        <v>8</v>
      </c>
      <c r="H14" s="7" t="s">
        <v>9</v>
      </c>
      <c r="I14" s="9" t="s">
        <v>45</v>
      </c>
      <c r="J14" s="9">
        <v>0.8</v>
      </c>
      <c r="K14" s="5">
        <v>2812</v>
      </c>
      <c r="L14" s="5">
        <v>14229</v>
      </c>
      <c r="M14" s="5">
        <f t="shared" si="10"/>
        <v>4405.1436555891232</v>
      </c>
      <c r="N14" s="5">
        <f t="shared" si="11"/>
        <v>8333.1413897280963</v>
      </c>
      <c r="O14">
        <f t="shared" si="12"/>
        <v>7115.6127818731075</v>
      </c>
      <c r="P14">
        <f t="shared" si="13"/>
        <v>1617.5895015105741</v>
      </c>
      <c r="Q14">
        <f t="shared" si="14"/>
        <v>468.00725075528698</v>
      </c>
      <c r="R14">
        <f t="shared" si="15"/>
        <v>507.99222054380658</v>
      </c>
      <c r="S14">
        <f t="shared" si="16"/>
        <v>6128.0000000000073</v>
      </c>
      <c r="T14" s="5">
        <v>340467</v>
      </c>
      <c r="U14" s="5">
        <v>89447</v>
      </c>
      <c r="V14" s="5">
        <v>35475</v>
      </c>
      <c r="W14" s="9">
        <f t="shared" si="2"/>
        <v>465389</v>
      </c>
      <c r="Y14" s="2">
        <f t="shared" si="9"/>
        <v>42804.486800000006</v>
      </c>
      <c r="Z14">
        <v>251.08772658610269</v>
      </c>
      <c r="AA14">
        <v>256.90449395770389</v>
      </c>
      <c r="AB14">
        <v>693.62197885196383</v>
      </c>
      <c r="AC14">
        <v>923.96752265861028</v>
      </c>
      <c r="AD14">
        <v>223.82114803625376</v>
      </c>
      <c r="AE14">
        <v>244.18610271903322</v>
      </c>
      <c r="AF14">
        <v>2118.8314954682778</v>
      </c>
      <c r="AG14">
        <v>2286.3121601208459</v>
      </c>
      <c r="AH14">
        <v>4013.0123867069483</v>
      </c>
      <c r="AI14">
        <v>4320.1290030211476</v>
      </c>
      <c r="AJ14">
        <v>2768.1489562904062</v>
      </c>
      <c r="AK14">
        <v>3359.8510437096015</v>
      </c>
      <c r="AL14">
        <v>3301.0957326283988</v>
      </c>
      <c r="AM14">
        <v>3814.5170492447082</v>
      </c>
      <c r="AO14" s="9">
        <f t="shared" ref="AO14" si="23">2*AA14/SUM(Z14:AA14)</f>
        <v>1.0114505048234288</v>
      </c>
      <c r="AP14" s="9">
        <f t="shared" ref="AP14" si="24">2*AC14/SUM(AB14:AC14)</f>
        <v>1.1424004938159773</v>
      </c>
      <c r="AQ14" s="9">
        <f t="shared" ref="AQ14" si="25">2*AE14/SUM(AD14:AE14)</f>
        <v>1.0435141862650925</v>
      </c>
      <c r="AR14" s="9">
        <f t="shared" ref="AR14" si="26">2*AG14/SUM(AF14:AG14)</f>
        <v>1.0380193423295228</v>
      </c>
      <c r="AS14" s="9">
        <f t="shared" ref="AS14" si="27">2*AI14/SUM(AH14:AI14)</f>
        <v>1.0368548428438726</v>
      </c>
      <c r="AT14" s="9">
        <f t="shared" ref="AT14" si="28">2*AK14/SUM(AJ14:AK14)</f>
        <v>1.0965571291480409</v>
      </c>
      <c r="AU14" s="9">
        <f t="shared" ref="AU14" si="29">2*AM14/SUM(AL14:AM14)</f>
        <v>1.0721541956195593</v>
      </c>
    </row>
    <row r="15" spans="1:47" ht="15.75">
      <c r="A15" s="5"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7" t="s">
        <v>7</v>
      </c>
      <c r="G15" s="7" t="s">
        <v>8</v>
      </c>
      <c r="H15" s="7" t="s">
        <v>9</v>
      </c>
      <c r="I15" s="9" t="s">
        <v>45</v>
      </c>
      <c r="J15" s="9">
        <v>0.8</v>
      </c>
      <c r="K15" s="5">
        <v>3642</v>
      </c>
      <c r="L15" s="5">
        <v>6165</v>
      </c>
      <c r="M15" s="5">
        <f t="shared" si="10"/>
        <v>5089.2924710424713</v>
      </c>
      <c r="N15" s="5">
        <f t="shared" si="11"/>
        <v>9579.5770557528922</v>
      </c>
      <c r="O15">
        <f t="shared" si="12"/>
        <v>8833.0024131274149</v>
      </c>
      <c r="P15">
        <f t="shared" si="13"/>
        <v>2324.278957528958</v>
      </c>
      <c r="Q15">
        <f t="shared" si="14"/>
        <v>551.19691119691106</v>
      </c>
      <c r="R15">
        <f t="shared" si="15"/>
        <v>524.30135135135129</v>
      </c>
      <c r="S15">
        <f t="shared" si="16"/>
        <v>6128</v>
      </c>
      <c r="T15" s="5">
        <v>328503</v>
      </c>
      <c r="U15" s="5">
        <v>47021</v>
      </c>
      <c r="V15" s="5">
        <v>71932</v>
      </c>
      <c r="W15" s="9">
        <f t="shared" ref="W15:W37" si="30">SUM(T15:V15)</f>
        <v>447456</v>
      </c>
      <c r="Y15" s="2">
        <f t="shared" si="9"/>
        <v>39194.649160000001</v>
      </c>
      <c r="Z15">
        <v>260.30135135135134</v>
      </c>
      <c r="AA15">
        <v>264</v>
      </c>
      <c r="AB15">
        <v>1044.3875482625483</v>
      </c>
      <c r="AC15">
        <v>1279.8914092664095</v>
      </c>
      <c r="AD15">
        <v>262.58532818532814</v>
      </c>
      <c r="AE15">
        <v>288.61158301158298</v>
      </c>
      <c r="AF15">
        <v>2437.6267374517374</v>
      </c>
      <c r="AG15">
        <v>2651.6657335907339</v>
      </c>
      <c r="AH15">
        <v>4589.4832333590703</v>
      </c>
      <c r="AI15">
        <v>4990.0938223938219</v>
      </c>
      <c r="AJ15">
        <v>2768.1489562904085</v>
      </c>
      <c r="AK15">
        <v>3359.8510437095911</v>
      </c>
      <c r="AL15">
        <v>4136.1677123552126</v>
      </c>
      <c r="AM15">
        <v>4696.8347007722014</v>
      </c>
      <c r="AO15" s="9">
        <f t="shared" ref="AO15" si="31">2*AA15/SUM(Z15:AA15)</f>
        <v>1.0070544327973134</v>
      </c>
      <c r="AP15" s="9">
        <f t="shared" ref="AP15" si="32">2*AC15/SUM(AB15:AC15)</f>
        <v>1.1013234062292743</v>
      </c>
      <c r="AQ15" s="9">
        <f t="shared" ref="AQ15" si="33">2*AE15/SUM(AD15:AE15)</f>
        <v>1.0472177080414684</v>
      </c>
      <c r="AR15" s="9">
        <f t="shared" ref="AR15" si="34">2*AG15/SUM(AF15:AG15)</f>
        <v>1.0420567293699183</v>
      </c>
      <c r="AS15" s="9">
        <f t="shared" ref="AS15" si="35">2*AI15/SUM(AH15:AI15)</f>
        <v>1.0418192355156399</v>
      </c>
      <c r="AT15" s="9">
        <f t="shared" ref="AT15" si="36">2*AK15/SUM(AJ15:AK15)</f>
        <v>1.0965571291480389</v>
      </c>
      <c r="AU15" s="9">
        <f t="shared" ref="AU15" si="37">2*AM15/SUM(AL15:AM15)</f>
        <v>1.0634741124471716</v>
      </c>
    </row>
    <row r="16" spans="1:47" ht="15.75" hidden="1">
      <c r="A16" s="5"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5" t="s">
        <v>48</v>
      </c>
      <c r="G16" s="7" t="s">
        <v>8</v>
      </c>
      <c r="H16" s="7" t="s">
        <v>9</v>
      </c>
      <c r="I16" s="9" t="s">
        <v>45</v>
      </c>
      <c r="J16" s="9">
        <v>0.8</v>
      </c>
      <c r="K16" s="5">
        <v>3360</v>
      </c>
      <c r="L16" s="5">
        <v>6165</v>
      </c>
      <c r="M16" s="5">
        <f t="shared" si="10"/>
        <v>6123.9999999999964</v>
      </c>
      <c r="N16" s="5">
        <f t="shared" si="11"/>
        <v>9216.0073167145929</v>
      </c>
      <c r="O16">
        <f t="shared" si="12"/>
        <v>8366.3772197332746</v>
      </c>
      <c r="P16">
        <f t="shared" si="13"/>
        <v>2147.6510617760619</v>
      </c>
      <c r="Q16">
        <f t="shared" si="14"/>
        <v>525.17065637065639</v>
      </c>
      <c r="R16">
        <f t="shared" si="15"/>
        <v>522.44290540540533</v>
      </c>
      <c r="S16">
        <f t="shared" si="16"/>
        <v>6128.0000000000109</v>
      </c>
      <c r="T16" s="5">
        <v>314065</v>
      </c>
      <c r="U16" s="5">
        <v>47021</v>
      </c>
      <c r="V16" s="5">
        <v>71932</v>
      </c>
      <c r="W16" s="9">
        <f t="shared" si="30"/>
        <v>433018</v>
      </c>
      <c r="Y16" s="2">
        <f t="shared" si="9"/>
        <v>39194.649160000001</v>
      </c>
      <c r="Z16">
        <v>258.44290540540538</v>
      </c>
      <c r="AA16">
        <v>264</v>
      </c>
      <c r="AB16">
        <v>926.63561776061783</v>
      </c>
      <c r="AC16">
        <v>1221.015444015444</v>
      </c>
      <c r="AD16">
        <v>249.57220077220074</v>
      </c>
      <c r="AE16">
        <v>275.59845559845559</v>
      </c>
      <c r="AF16">
        <v>2755.7999999999961</v>
      </c>
      <c r="AG16">
        <v>3368.2000000000003</v>
      </c>
      <c r="AH16">
        <v>4401.3548262548256</v>
      </c>
      <c r="AI16">
        <v>4814.6524904597682</v>
      </c>
      <c r="AJ16">
        <v>2768.1489562904071</v>
      </c>
      <c r="AK16">
        <v>3359.8510437096033</v>
      </c>
      <c r="AL16">
        <v>3855.8342181467183</v>
      </c>
      <c r="AM16">
        <v>4510.5430015865559</v>
      </c>
      <c r="AO16" s="9">
        <f t="shared" ref="AO16" si="38">2*AA16/SUM(Z16:AA16)</f>
        <v>1.0106367500392841</v>
      </c>
      <c r="AP16" s="9">
        <f t="shared" ref="AP16" si="39">2*AC16/SUM(AB16:AC16)</f>
        <v>1.1370706030854847</v>
      </c>
      <c r="AQ16" s="9">
        <f t="shared" ref="AQ16" si="40">2*AE16/SUM(AD16:AE16)</f>
        <v>1.0495577094998352</v>
      </c>
      <c r="AR16" s="9">
        <f t="shared" ref="AR16" si="41">2*AG16/SUM(AF16:AG16)</f>
        <v>1.1000000000000008</v>
      </c>
      <c r="AS16" s="9">
        <f t="shared" ref="AS16" si="42">2*AI16/SUM(AH16:AI16)</f>
        <v>1.0448456310853147</v>
      </c>
      <c r="AT16" s="9">
        <f t="shared" ref="AT16" si="43">2*AK16/SUM(AJ16:AK16)</f>
        <v>1.0965571291480409</v>
      </c>
      <c r="AU16" s="9">
        <f t="shared" ref="AU16" si="44">2*AM16/SUM(AL16:AM16)</f>
        <v>1.0782547530722872</v>
      </c>
    </row>
    <row r="17" spans="1:47" ht="15.75" hidden="1">
      <c r="A17" s="5"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5" t="s">
        <v>59</v>
      </c>
      <c r="G17" s="7" t="s">
        <v>8</v>
      </c>
      <c r="H17" s="7" t="s">
        <v>9</v>
      </c>
      <c r="I17" s="9" t="s">
        <v>45</v>
      </c>
      <c r="J17" s="9">
        <v>0.8</v>
      </c>
      <c r="K17" s="5">
        <v>3128</v>
      </c>
      <c r="L17" s="5">
        <v>6165</v>
      </c>
      <c r="M17" s="5">
        <f t="shared" si="10"/>
        <v>4714.7242277992282</v>
      </c>
      <c r="N17" s="5">
        <f t="shared" si="11"/>
        <v>11503.999999999985</v>
      </c>
      <c r="O17">
        <f t="shared" si="12"/>
        <v>7851.835183397684</v>
      </c>
      <c r="P17">
        <f t="shared" si="13"/>
        <v>1869.0918646332148</v>
      </c>
      <c r="Q17">
        <f t="shared" si="14"/>
        <v>505.59907335907337</v>
      </c>
      <c r="R17">
        <f t="shared" si="15"/>
        <v>516.88581081081077</v>
      </c>
      <c r="S17">
        <f t="shared" si="16"/>
        <v>6128.0000000000055</v>
      </c>
      <c r="T17" s="5">
        <v>301614</v>
      </c>
      <c r="U17" s="5">
        <v>47021</v>
      </c>
      <c r="V17" s="5">
        <v>71932</v>
      </c>
      <c r="W17" s="9">
        <f t="shared" si="30"/>
        <v>420567</v>
      </c>
      <c r="Y17" s="2">
        <f t="shared" si="9"/>
        <v>39255.136160000002</v>
      </c>
      <c r="Z17">
        <v>254.72601351351349</v>
      </c>
      <c r="AA17">
        <v>262.15979729729725</v>
      </c>
      <c r="AB17">
        <v>808.88368725868736</v>
      </c>
      <c r="AC17">
        <v>1060.2081773745274</v>
      </c>
      <c r="AD17">
        <v>236.55907335907335</v>
      </c>
      <c r="AE17">
        <v>269.04000000000002</v>
      </c>
      <c r="AF17">
        <v>2223.5877413127414</v>
      </c>
      <c r="AG17">
        <v>2491.1364864864868</v>
      </c>
      <c r="AH17">
        <v>5176.7999999999847</v>
      </c>
      <c r="AI17">
        <v>6327.2000000000007</v>
      </c>
      <c r="AJ17">
        <v>2768.1489562904048</v>
      </c>
      <c r="AK17">
        <v>3359.8510437096006</v>
      </c>
      <c r="AL17">
        <v>3575.5007239382239</v>
      </c>
      <c r="AM17">
        <v>4276.33445945946</v>
      </c>
      <c r="AO17" s="9">
        <f t="shared" ref="AO17" si="45">2*AA17/SUM(Z17:AA17)</f>
        <v>1.0143818685448587</v>
      </c>
      <c r="AP17" s="9">
        <f t="shared" ref="AP17" si="46">2*AC17/SUM(AB17:AC17)</f>
        <v>1.1344634230512578</v>
      </c>
      <c r="AQ17" s="9">
        <f t="shared" ref="AQ17" si="47">2*AE17/SUM(AD17:AE17)</f>
        <v>1.064242456824795</v>
      </c>
      <c r="AR17" s="9">
        <f t="shared" ref="AR17" si="48">2*AG17/SUM(AF17:AG17)</f>
        <v>1.0567474855891272</v>
      </c>
      <c r="AS17" s="9">
        <f t="shared" ref="AS17" si="49">2*AI17/SUM(AH17:AI17)</f>
        <v>1.1000000000000014</v>
      </c>
      <c r="AT17" s="9">
        <f t="shared" ref="AT17" si="50">2*AK17/SUM(AJ17:AK17)</f>
        <v>1.0965571291480409</v>
      </c>
      <c r="AU17" s="9">
        <f t="shared" ref="AU17" si="51">2*AM17/SUM(AL17:AM17)</f>
        <v>1.0892573161753465</v>
      </c>
    </row>
    <row r="18" spans="1:47" ht="15.75" hidden="1">
      <c r="A18" s="5">
        <v>14</v>
      </c>
      <c r="B18" s="9">
        <v>2020</v>
      </c>
      <c r="C18" s="9" t="s">
        <v>4</v>
      </c>
      <c r="D18" s="9" t="s">
        <v>5</v>
      </c>
      <c r="E18" s="7" t="s">
        <v>6</v>
      </c>
      <c r="F18" s="5" t="s">
        <v>60</v>
      </c>
      <c r="G18" s="7" t="s">
        <v>8</v>
      </c>
      <c r="H18" s="7" t="s">
        <v>9</v>
      </c>
      <c r="I18" s="9" t="s">
        <v>45</v>
      </c>
      <c r="J18" s="9">
        <v>0.8</v>
      </c>
      <c r="K18" s="5">
        <v>3263</v>
      </c>
      <c r="L18" s="5">
        <v>6165</v>
      </c>
      <c r="M18" s="5">
        <f t="shared" si="10"/>
        <v>4500.6852316602317</v>
      </c>
      <c r="N18" s="5">
        <f t="shared" si="11"/>
        <v>8583.8724051737081</v>
      </c>
      <c r="O18">
        <f t="shared" si="12"/>
        <v>11210.000000000022</v>
      </c>
      <c r="P18">
        <f t="shared" si="13"/>
        <v>1676.64333976834</v>
      </c>
      <c r="Q18">
        <f t="shared" si="14"/>
        <v>479.62471042471043</v>
      </c>
      <c r="R18">
        <f t="shared" si="15"/>
        <v>511.31047297297295</v>
      </c>
      <c r="S18">
        <f t="shared" si="16"/>
        <v>6128.0000000000127</v>
      </c>
      <c r="T18" s="5">
        <v>302329</v>
      </c>
      <c r="U18" s="5">
        <v>47021</v>
      </c>
      <c r="V18" s="5">
        <v>71932</v>
      </c>
      <c r="W18" s="9">
        <f t="shared" si="30"/>
        <v>421282</v>
      </c>
      <c r="Y18" s="2">
        <f t="shared" si="9"/>
        <v>39255.136160000002</v>
      </c>
      <c r="Z18">
        <v>251.0091216216216</v>
      </c>
      <c r="AA18">
        <v>260.30135135135134</v>
      </c>
      <c r="AB18">
        <v>691.13175675675677</v>
      </c>
      <c r="AC18">
        <v>985.51158301158307</v>
      </c>
      <c r="AD18">
        <v>223.54594594594593</v>
      </c>
      <c r="AE18">
        <v>256.07876447876447</v>
      </c>
      <c r="AF18">
        <v>2116.5682432432432</v>
      </c>
      <c r="AG18">
        <v>2384.1169884169885</v>
      </c>
      <c r="AH18">
        <v>4084.3944128957164</v>
      </c>
      <c r="AI18">
        <v>4499.4779922779917</v>
      </c>
      <c r="AJ18">
        <v>2768.1489562904057</v>
      </c>
      <c r="AK18">
        <v>3359.8510437096074</v>
      </c>
      <c r="AL18">
        <v>5045.0000000000227</v>
      </c>
      <c r="AM18">
        <v>6165</v>
      </c>
      <c r="AO18" s="9">
        <f t="shared" ref="AO18" si="52">2*AA18/SUM(Z18:AA18)</f>
        <v>1.0181733608461037</v>
      </c>
      <c r="AP18" s="9">
        <f t="shared" ref="AP18" si="53">2*AC18/SUM(AB18:AC18)</f>
        <v>1.1755768918006737</v>
      </c>
      <c r="AQ18" s="9">
        <f t="shared" ref="AQ18" si="54">2*AE18/SUM(AD18:AE18)</f>
        <v>1.0678297381801085</v>
      </c>
      <c r="AR18" s="9">
        <f t="shared" ref="AR18" si="55">2*AG18/SUM(AF18:AG18)</f>
        <v>1.0594462246085694</v>
      </c>
      <c r="AS18" s="9">
        <f t="shared" ref="AS18" si="56">2*AI18/SUM(AH18:AI18)</f>
        <v>1.0483562149796279</v>
      </c>
      <c r="AT18" s="9">
        <f t="shared" ref="AT18" si="57">2*AK18/SUM(AJ18:AK18)</f>
        <v>1.0965571291480418</v>
      </c>
      <c r="AU18" s="9">
        <f t="shared" ref="AU18" si="58">2*AM18/SUM(AL18:AM18)</f>
        <v>1.0999107939339854</v>
      </c>
    </row>
    <row r="19" spans="1:47" ht="15.75" hidden="1">
      <c r="A19" s="5">
        <v>15</v>
      </c>
      <c r="B19" s="9">
        <v>2020</v>
      </c>
      <c r="C19" s="9" t="s">
        <v>4</v>
      </c>
      <c r="D19" s="9" t="s">
        <v>5</v>
      </c>
      <c r="E19" s="7" t="s">
        <v>6</v>
      </c>
      <c r="F19" s="5" t="s">
        <v>68</v>
      </c>
      <c r="G19" s="7" t="s">
        <v>8</v>
      </c>
      <c r="H19" s="7" t="s">
        <v>9</v>
      </c>
      <c r="I19" s="9" t="s">
        <v>45</v>
      </c>
      <c r="J19" s="9">
        <v>0.8</v>
      </c>
      <c r="K19" s="5">
        <v>3517</v>
      </c>
      <c r="L19" s="5">
        <v>6165</v>
      </c>
      <c r="M19" s="5">
        <f t="shared" si="10"/>
        <v>4928.7632239382237</v>
      </c>
      <c r="N19" s="5">
        <f t="shared" si="11"/>
        <v>9293.3254826254815</v>
      </c>
      <c r="O19">
        <f t="shared" si="12"/>
        <v>8411.94689166022</v>
      </c>
      <c r="P19">
        <f t="shared" si="13"/>
        <v>3219.9999999999982</v>
      </c>
      <c r="Q19">
        <f t="shared" si="14"/>
        <v>525.17065637065639</v>
      </c>
      <c r="R19">
        <f t="shared" si="15"/>
        <v>522.44290540540533</v>
      </c>
      <c r="S19">
        <f t="shared" si="16"/>
        <v>6128.0000000000146</v>
      </c>
      <c r="T19" s="5">
        <v>320769</v>
      </c>
      <c r="U19" s="5">
        <v>47021</v>
      </c>
      <c r="V19" s="5">
        <v>71932</v>
      </c>
      <c r="W19" s="9">
        <f t="shared" si="30"/>
        <v>439722</v>
      </c>
      <c r="Y19" s="2">
        <f t="shared" si="9"/>
        <v>39194.649160000001</v>
      </c>
      <c r="Z19">
        <v>258.44290540540538</v>
      </c>
      <c r="AA19">
        <v>264</v>
      </c>
      <c r="AB19">
        <v>1509.0499999999981</v>
      </c>
      <c r="AC19">
        <v>1710.95</v>
      </c>
      <c r="AD19">
        <v>249.57220077220074</v>
      </c>
      <c r="AE19">
        <v>275.59845559845559</v>
      </c>
      <c r="AF19">
        <v>2330.6072393822396</v>
      </c>
      <c r="AG19">
        <v>2598.1559845559846</v>
      </c>
      <c r="AH19">
        <v>4401.3548262548256</v>
      </c>
      <c r="AI19">
        <v>4891.9706563706559</v>
      </c>
      <c r="AJ19">
        <v>2768.1489562904085</v>
      </c>
      <c r="AK19">
        <v>3359.8510437096056</v>
      </c>
      <c r="AL19">
        <v>3855.8342181467183</v>
      </c>
      <c r="AM19">
        <v>4556.1126735135012</v>
      </c>
      <c r="AO19" s="9">
        <f t="shared" ref="AO19" si="59">2*AA19/SUM(Z19:AA19)</f>
        <v>1.0106367500392841</v>
      </c>
      <c r="AP19" s="9">
        <f t="shared" ref="AP19" si="60">2*AC19/SUM(AB19:AC19)</f>
        <v>1.0627018633540379</v>
      </c>
      <c r="AQ19" s="9">
        <f t="shared" ref="AQ19" si="61">2*AE19/SUM(AD19:AE19)</f>
        <v>1.0495577094998352</v>
      </c>
      <c r="AR19" s="9">
        <f t="shared" ref="AR19" si="62">2*AG19/SUM(AF19:AG19)</f>
        <v>1.0542831402154405</v>
      </c>
      <c r="AS19" s="9">
        <f t="shared" ref="AS19" si="63">2*AI19/SUM(AH19:AI19)</f>
        <v>1.0527922788277533</v>
      </c>
      <c r="AT19" s="9">
        <f t="shared" ref="AT19" si="64">2*AK19/SUM(AJ19:AK19)</f>
        <v>1.0965571291480409</v>
      </c>
      <c r="AU19" s="9">
        <f t="shared" ref="AU19" si="65">2*AM19/SUM(AL19:AM19)</f>
        <v>1.083248083277969</v>
      </c>
    </row>
    <row r="20" spans="1:47" ht="15.75" hidden="1">
      <c r="A20" s="5">
        <v>16</v>
      </c>
      <c r="B20" s="9">
        <v>2020</v>
      </c>
      <c r="C20" s="9" t="s">
        <v>4</v>
      </c>
      <c r="D20" s="9" t="s">
        <v>5</v>
      </c>
      <c r="E20" s="7" t="s">
        <v>6</v>
      </c>
      <c r="F20" s="5" t="s">
        <v>69</v>
      </c>
      <c r="G20" s="7" t="s">
        <v>8</v>
      </c>
      <c r="H20" s="7" t="s">
        <v>9</v>
      </c>
      <c r="I20" s="9" t="s">
        <v>45</v>
      </c>
      <c r="J20" s="9">
        <v>0.8</v>
      </c>
      <c r="K20" s="5">
        <v>3642</v>
      </c>
      <c r="L20" s="5">
        <v>6165</v>
      </c>
      <c r="M20" s="5">
        <f t="shared" si="10"/>
        <v>5089.2924710424713</v>
      </c>
      <c r="N20" s="5">
        <f t="shared" si="11"/>
        <v>9575.8784071042355</v>
      </c>
      <c r="O20">
        <f t="shared" si="12"/>
        <v>8833.0024131274149</v>
      </c>
      <c r="P20">
        <f t="shared" si="13"/>
        <v>2324.278957528958</v>
      </c>
      <c r="Q20">
        <f t="shared" si="14"/>
        <v>551.19691119691106</v>
      </c>
      <c r="R20">
        <f t="shared" si="15"/>
        <v>528</v>
      </c>
      <c r="S20">
        <f t="shared" si="16"/>
        <v>6128.0000000000073</v>
      </c>
      <c r="T20" s="5">
        <v>327263</v>
      </c>
      <c r="U20" s="5">
        <v>47021</v>
      </c>
      <c r="V20" s="5">
        <v>71932</v>
      </c>
      <c r="W20" s="9">
        <f t="shared" si="30"/>
        <v>446216</v>
      </c>
      <c r="Y20" s="2">
        <f t="shared" si="9"/>
        <v>39194.649159999994</v>
      </c>
      <c r="Z20">
        <v>264</v>
      </c>
      <c r="AA20">
        <v>264</v>
      </c>
      <c r="AB20">
        <v>1044.3875482625483</v>
      </c>
      <c r="AC20">
        <v>1279.8914092664095</v>
      </c>
      <c r="AD20">
        <v>262.58532818532814</v>
      </c>
      <c r="AE20">
        <v>288.61158301158298</v>
      </c>
      <c r="AF20">
        <v>2437.6267374517374</v>
      </c>
      <c r="AG20">
        <v>2651.6657335907339</v>
      </c>
      <c r="AH20">
        <v>4585.7845847104145</v>
      </c>
      <c r="AI20">
        <v>4990.0938223938219</v>
      </c>
      <c r="AJ20">
        <v>2768.1489562904067</v>
      </c>
      <c r="AK20">
        <v>3359.8510437096011</v>
      </c>
      <c r="AL20">
        <v>4136.1677123552126</v>
      </c>
      <c r="AM20">
        <v>4696.8347007722014</v>
      </c>
      <c r="AO20" s="9">
        <f t="shared" ref="AO20" si="66">2*AA20/SUM(Z20:AA20)</f>
        <v>1</v>
      </c>
      <c r="AP20" s="9">
        <f t="shared" ref="AP20" si="67">2*AC20/SUM(AB20:AC20)</f>
        <v>1.1013234062292743</v>
      </c>
      <c r="AQ20" s="9">
        <f t="shared" ref="AQ20" si="68">2*AE20/SUM(AD20:AE20)</f>
        <v>1.0472177080414684</v>
      </c>
      <c r="AR20" s="9">
        <f t="shared" ref="AR20" si="69">2*AG20/SUM(AF20:AG20)</f>
        <v>1.0420567293699183</v>
      </c>
      <c r="AS20" s="9">
        <f t="shared" ref="AS20" si="70">2*AI20/SUM(AH20:AI20)</f>
        <v>1.0422216344542821</v>
      </c>
      <c r="AT20" s="9">
        <f t="shared" ref="AT20" si="71">2*AK20/SUM(AJ20:AK20)</f>
        <v>1.0965571291480409</v>
      </c>
      <c r="AU20" s="9">
        <f t="shared" ref="AU20" si="72">2*AM20/SUM(AL20:AM20)</f>
        <v>1.0634741124471716</v>
      </c>
    </row>
    <row r="21" spans="1:47" ht="15.75" hidden="1">
      <c r="A21" s="5">
        <v>17</v>
      </c>
      <c r="B21" s="9">
        <v>2020</v>
      </c>
      <c r="C21" s="9" t="s">
        <v>4</v>
      </c>
      <c r="D21" s="9" t="s">
        <v>5</v>
      </c>
      <c r="E21" s="7" t="s">
        <v>6</v>
      </c>
      <c r="F21" s="5" t="s">
        <v>70</v>
      </c>
      <c r="G21" s="7" t="s">
        <v>8</v>
      </c>
      <c r="H21" s="7" t="s">
        <v>9</v>
      </c>
      <c r="I21" s="9" t="s">
        <v>45</v>
      </c>
      <c r="J21" s="9">
        <v>0.8</v>
      </c>
      <c r="K21" s="5">
        <v>3595</v>
      </c>
      <c r="L21" s="5">
        <v>6165</v>
      </c>
      <c r="M21" s="5">
        <f t="shared" si="10"/>
        <v>5089.2924710424713</v>
      </c>
      <c r="N21" s="5">
        <f t="shared" si="11"/>
        <v>9489.5718146718136</v>
      </c>
      <c r="O21">
        <f t="shared" si="12"/>
        <v>8802.2045654053982</v>
      </c>
      <c r="P21">
        <f t="shared" si="13"/>
        <v>2324.278957528958</v>
      </c>
      <c r="Q21">
        <f t="shared" si="14"/>
        <v>672</v>
      </c>
      <c r="R21">
        <f t="shared" si="15"/>
        <v>524.30135135135129</v>
      </c>
      <c r="S21">
        <f t="shared" si="16"/>
        <v>6128.0000000000055</v>
      </c>
      <c r="T21" s="5">
        <v>326933</v>
      </c>
      <c r="U21" s="5">
        <v>47021</v>
      </c>
      <c r="V21" s="5">
        <v>71932</v>
      </c>
      <c r="W21" s="9">
        <f t="shared" si="30"/>
        <v>445886</v>
      </c>
      <c r="Y21" s="2">
        <f t="shared" si="9"/>
        <v>39194.649160000001</v>
      </c>
      <c r="Z21">
        <v>260.30135135135134</v>
      </c>
      <c r="AA21">
        <v>264</v>
      </c>
      <c r="AB21">
        <v>1044.3875482625483</v>
      </c>
      <c r="AC21">
        <v>1279.8914092664095</v>
      </c>
      <c r="AD21">
        <v>335.7</v>
      </c>
      <c r="AE21">
        <v>336.3</v>
      </c>
      <c r="AF21">
        <v>2437.6267374517374</v>
      </c>
      <c r="AG21">
        <v>2651.6657335907339</v>
      </c>
      <c r="AH21">
        <v>4499.4779922779917</v>
      </c>
      <c r="AI21">
        <v>4990.0938223938219</v>
      </c>
      <c r="AJ21">
        <v>2768.1489562904057</v>
      </c>
      <c r="AK21">
        <v>3359.8510437095997</v>
      </c>
      <c r="AL21">
        <v>4105.3698646331968</v>
      </c>
      <c r="AM21">
        <v>4696.8347007722014</v>
      </c>
      <c r="AO21" s="9">
        <f t="shared" ref="AO21" si="73">2*AA21/SUM(Z21:AA21)</f>
        <v>1.0070544327973134</v>
      </c>
      <c r="AP21" s="9">
        <f t="shared" ref="AP21" si="74">2*AC21/SUM(AB21:AC21)</f>
        <v>1.1013234062292743</v>
      </c>
      <c r="AQ21" s="9">
        <f t="shared" ref="AQ21" si="75">2*AE21/SUM(AD21:AE21)</f>
        <v>1.0008928571428573</v>
      </c>
      <c r="AR21" s="9">
        <f t="shared" ref="AR21" si="76">2*AG21/SUM(AF21:AG21)</f>
        <v>1.0420567293699183</v>
      </c>
      <c r="AS21" s="9">
        <f t="shared" ref="AS21" si="77">2*AI21/SUM(AH21:AI21)</f>
        <v>1.0517005234479906</v>
      </c>
      <c r="AT21" s="9">
        <f t="shared" ref="AT21" si="78">2*AK21/SUM(AJ21:AK21)</f>
        <v>1.0965571291480407</v>
      </c>
      <c r="AU21" s="9">
        <f t="shared" ref="AU21" si="79">2*AM21/SUM(AL21:AM21)</f>
        <v>1.0671950795671792</v>
      </c>
    </row>
    <row r="22" spans="1:47" ht="15.75" hidden="1">
      <c r="A22" s="5">
        <v>18</v>
      </c>
      <c r="B22" s="9">
        <v>2020</v>
      </c>
      <c r="C22" s="9" t="s">
        <v>4</v>
      </c>
      <c r="D22" s="9" t="s">
        <v>39</v>
      </c>
      <c r="E22" s="7" t="s">
        <v>6</v>
      </c>
      <c r="F22" s="5" t="s">
        <v>48</v>
      </c>
      <c r="G22" s="7" t="s">
        <v>8</v>
      </c>
      <c r="H22" s="7" t="s">
        <v>9</v>
      </c>
      <c r="I22" s="9" t="s">
        <v>45</v>
      </c>
      <c r="J22" s="9">
        <v>0.8</v>
      </c>
      <c r="K22" s="5">
        <v>2972</v>
      </c>
      <c r="L22" s="5">
        <v>14299</v>
      </c>
      <c r="M22" s="5">
        <f t="shared" si="10"/>
        <v>6124.0000000000055</v>
      </c>
      <c r="N22" s="5">
        <f t="shared" si="11"/>
        <v>8026.0247734138975</v>
      </c>
      <c r="O22">
        <f t="shared" si="12"/>
        <v>6602.1914652567975</v>
      </c>
      <c r="P22">
        <f t="shared" si="13"/>
        <v>1397.6418995037734</v>
      </c>
      <c r="Q22">
        <f t="shared" si="14"/>
        <v>447.64229607250752</v>
      </c>
      <c r="R22">
        <f t="shared" si="15"/>
        <v>502.17545317220538</v>
      </c>
      <c r="S22">
        <f t="shared" si="16"/>
        <v>5536.2979125808151</v>
      </c>
      <c r="T22" s="5">
        <v>332973</v>
      </c>
      <c r="U22" s="5">
        <v>89477</v>
      </c>
      <c r="V22" s="5">
        <v>35475</v>
      </c>
      <c r="W22" s="9">
        <f t="shared" si="30"/>
        <v>457925</v>
      </c>
      <c r="Y22" s="2">
        <f t="shared" si="9"/>
        <v>42934.973800000007</v>
      </c>
      <c r="Z22">
        <v>248.17934290030209</v>
      </c>
      <c r="AA22">
        <v>253.99611027190329</v>
      </c>
      <c r="AB22">
        <v>601.48376132930514</v>
      </c>
      <c r="AC22">
        <v>796.15813817446815</v>
      </c>
      <c r="AD22">
        <v>213.63867069486403</v>
      </c>
      <c r="AE22">
        <v>234.00362537764349</v>
      </c>
      <c r="AF22">
        <v>2755.8000000000056</v>
      </c>
      <c r="AG22">
        <v>3368.2000000000003</v>
      </c>
      <c r="AH22">
        <v>3859.4540785498489</v>
      </c>
      <c r="AI22">
        <v>4166.5706948640482</v>
      </c>
      <c r="AJ22">
        <v>2768.1489562904089</v>
      </c>
      <c r="AK22">
        <v>2768.1489562904062</v>
      </c>
      <c r="AL22">
        <v>3081.7411253776436</v>
      </c>
      <c r="AM22">
        <v>3520.4503398791539</v>
      </c>
      <c r="AO22" s="9">
        <f t="shared" ref="AO22" si="80">2*AA22/SUM(Z22:AA22)</f>
        <v>1.0115831375963462</v>
      </c>
      <c r="AP22" s="9">
        <f t="shared" ref="AP22" si="81">2*AC22/SUM(AB22:AC22)</f>
        <v>1.139287736661502</v>
      </c>
      <c r="AQ22" s="9">
        <f t="shared" ref="AQ22" si="82">2*AE22/SUM(AD22:AE22)</f>
        <v>1.0454938124959505</v>
      </c>
      <c r="AR22" s="9">
        <f t="shared" ref="AR22" si="83">2*AG22/SUM(AF22:AG22)</f>
        <v>1.0999999999999992</v>
      </c>
      <c r="AS22" s="9">
        <f t="shared" ref="AS22" si="84">2*AI22/SUM(AH22:AI22)</f>
        <v>1.038265096979456</v>
      </c>
      <c r="AT22" s="9">
        <f t="shared" ref="AT22" si="85">2*AK22/SUM(AJ22:AK22)</f>
        <v>0.99999999999999956</v>
      </c>
      <c r="AU22" s="9">
        <f t="shared" ref="AU22" si="86">2*AM22/SUM(AL22:AM22)</f>
        <v>1.0664490293579281</v>
      </c>
    </row>
    <row r="23" spans="1:47" ht="15.75" hidden="1">
      <c r="A23" s="5">
        <v>19</v>
      </c>
      <c r="B23" s="9">
        <v>2020</v>
      </c>
      <c r="C23" s="9" t="s">
        <v>4</v>
      </c>
      <c r="D23" s="9" t="s">
        <v>39</v>
      </c>
      <c r="E23" s="7" t="s">
        <v>6</v>
      </c>
      <c r="F23" s="5" t="s">
        <v>59</v>
      </c>
      <c r="G23" s="7" t="s">
        <v>8</v>
      </c>
      <c r="H23" s="7" t="s">
        <v>9</v>
      </c>
      <c r="I23" s="9" t="s">
        <v>45</v>
      </c>
      <c r="J23" s="9">
        <v>0.8</v>
      </c>
      <c r="K23" s="5">
        <v>2751</v>
      </c>
      <c r="L23" s="5">
        <v>14299</v>
      </c>
      <c r="M23" s="5">
        <f t="shared" si="10"/>
        <v>3902.7016616314199</v>
      </c>
      <c r="N23" s="5">
        <f t="shared" si="11"/>
        <v>11503.999999999967</v>
      </c>
      <c r="O23">
        <f t="shared" si="12"/>
        <v>5730.7597242772244</v>
      </c>
      <c r="P23">
        <f t="shared" si="13"/>
        <v>1064.7601963746224</v>
      </c>
      <c r="Q23">
        <f t="shared" si="14"/>
        <v>406.91238670694861</v>
      </c>
      <c r="R23">
        <f t="shared" si="15"/>
        <v>490.54191842900298</v>
      </c>
      <c r="S23">
        <f t="shared" si="16"/>
        <v>5536.297912580816</v>
      </c>
      <c r="T23" s="5">
        <v>318592</v>
      </c>
      <c r="U23" s="5">
        <v>89447</v>
      </c>
      <c r="V23" s="5">
        <v>35475</v>
      </c>
      <c r="W23" s="9">
        <f t="shared" si="30"/>
        <v>443514</v>
      </c>
      <c r="Y23" s="2">
        <f t="shared" si="9"/>
        <v>42934.973799999992</v>
      </c>
      <c r="Z23">
        <v>242.36257552870089</v>
      </c>
      <c r="AA23">
        <v>248.17934290030209</v>
      </c>
      <c r="AB23">
        <v>417.20732628398792</v>
      </c>
      <c r="AC23">
        <v>647.55287009063443</v>
      </c>
      <c r="AD23">
        <v>193.27371601208458</v>
      </c>
      <c r="AE23">
        <v>213.63867069486403</v>
      </c>
      <c r="AF23">
        <v>1867.6104984894259</v>
      </c>
      <c r="AG23">
        <v>2035.091163141994</v>
      </c>
      <c r="AH23">
        <v>5176.7999999999674</v>
      </c>
      <c r="AI23">
        <v>6327.2000000000007</v>
      </c>
      <c r="AJ23">
        <v>2768.1489562904085</v>
      </c>
      <c r="AK23">
        <v>2768.1489562904071</v>
      </c>
      <c r="AL23">
        <v>2643.0319108761328</v>
      </c>
      <c r="AM23">
        <v>3087.7278134010917</v>
      </c>
      <c r="AO23" s="9">
        <f t="shared" ref="AO23" si="87">2*AA23/SUM(Z23:AA23)</f>
        <v>1.0118578395710398</v>
      </c>
      <c r="AP23" s="9">
        <f t="shared" ref="AP23" si="88">2*AC23/SUM(AB23:AC23)</f>
        <v>1.2163356073892926</v>
      </c>
      <c r="AQ23" s="9">
        <f t="shared" ref="AQ23" si="89">2*AE23/SUM(AD23:AE23)</f>
        <v>1.0500475172249941</v>
      </c>
      <c r="AR23" s="9">
        <f t="shared" ref="AR23" si="90">2*AG23/SUM(AF23:AG23)</f>
        <v>1.0429140321688226</v>
      </c>
      <c r="AS23" s="9">
        <f t="shared" ref="AS23" si="91">2*AI23/SUM(AH23:AI23)</f>
        <v>1.1000000000000032</v>
      </c>
      <c r="AT23" s="9">
        <f t="shared" ref="AT23" si="92">2*AK23/SUM(AJ23:AK23)</f>
        <v>0.99999999999999967</v>
      </c>
      <c r="AU23" s="9">
        <f t="shared" ref="AU23" si="93">2*AM23/SUM(AL23:AM23)</f>
        <v>1.0775980714461109</v>
      </c>
    </row>
    <row r="24" spans="1:47" ht="15.75" hidden="1">
      <c r="A24" s="5">
        <v>20</v>
      </c>
      <c r="B24" s="9">
        <v>2020</v>
      </c>
      <c r="C24" s="9" t="s">
        <v>4</v>
      </c>
      <c r="D24" s="9" t="s">
        <v>39</v>
      </c>
      <c r="E24" s="7" t="s">
        <v>6</v>
      </c>
      <c r="F24" s="5" t="s">
        <v>60</v>
      </c>
      <c r="G24" s="7" t="s">
        <v>8</v>
      </c>
      <c r="H24" s="7" t="s">
        <v>9</v>
      </c>
      <c r="I24" s="9" t="s">
        <v>45</v>
      </c>
      <c r="J24" s="9">
        <v>0.8</v>
      </c>
      <c r="K24" s="5">
        <v>3015</v>
      </c>
      <c r="L24" s="5">
        <v>14299</v>
      </c>
      <c r="M24" s="5">
        <f t="shared" si="10"/>
        <v>3567.7403323262843</v>
      </c>
      <c r="N24" s="5">
        <f t="shared" si="11"/>
        <v>6797.5583081570994</v>
      </c>
      <c r="O24">
        <f t="shared" si="12"/>
        <v>11209.999999999982</v>
      </c>
      <c r="P24">
        <f t="shared" si="13"/>
        <v>679.28638590862693</v>
      </c>
      <c r="Q24">
        <f t="shared" si="14"/>
        <v>366.1824773413897</v>
      </c>
      <c r="R24">
        <f t="shared" si="15"/>
        <v>478.90838368580057</v>
      </c>
      <c r="S24">
        <f t="shared" si="16"/>
        <v>5536.2979125808197</v>
      </c>
      <c r="T24" s="5">
        <v>320978</v>
      </c>
      <c r="U24" s="5">
        <v>89448</v>
      </c>
      <c r="V24" s="5">
        <v>35475</v>
      </c>
      <c r="W24" s="9">
        <f t="shared" si="30"/>
        <v>445901</v>
      </c>
      <c r="Y24" s="2">
        <f t="shared" si="9"/>
        <v>42934.9738</v>
      </c>
      <c r="Z24">
        <v>238</v>
      </c>
      <c r="AA24">
        <v>240.9083836858006</v>
      </c>
      <c r="AB24">
        <v>279</v>
      </c>
      <c r="AC24">
        <v>400.28638590862687</v>
      </c>
      <c r="AD24">
        <v>178</v>
      </c>
      <c r="AE24">
        <v>188.18247734138973</v>
      </c>
      <c r="AF24">
        <v>1742</v>
      </c>
      <c r="AG24">
        <v>1825.740332326284</v>
      </c>
      <c r="AH24">
        <v>3322</v>
      </c>
      <c r="AI24">
        <v>3475.5583081570994</v>
      </c>
      <c r="AJ24">
        <v>2768.1489562904062</v>
      </c>
      <c r="AK24">
        <v>2768.148956290413</v>
      </c>
      <c r="AL24">
        <v>5044.9999999999827</v>
      </c>
      <c r="AM24">
        <v>6165</v>
      </c>
      <c r="AO24" s="9">
        <f t="shared" ref="AO24" si="94">2*AA24/SUM(Z24:AA24)</f>
        <v>1.0060729437714515</v>
      </c>
      <c r="AP24" s="9">
        <f t="shared" ref="AP24" si="95">2*AC24/SUM(AB24:AC24)</f>
        <v>1.1785497080828313</v>
      </c>
      <c r="AQ24" s="9">
        <f t="shared" ref="AQ24" si="96">2*AE24/SUM(AD24:AE24)</f>
        <v>1.0278071124957098</v>
      </c>
      <c r="AR24" s="9">
        <f t="shared" ref="AR24" si="97">2*AG24/SUM(AF24:AG24)</f>
        <v>1.0234715322658257</v>
      </c>
      <c r="AS24" s="9">
        <f t="shared" ref="AS24" si="98">2*AI24/SUM(AH24:AI24)</f>
        <v>1.0225902156621192</v>
      </c>
      <c r="AT24" s="9">
        <f t="shared" ref="AT24" si="99">2*AK24/SUM(AJ24:AK24)</f>
        <v>1.0000000000000011</v>
      </c>
      <c r="AU24" s="9">
        <f t="shared" ref="AU24" si="100">2*AM24/SUM(AL24:AM24)</f>
        <v>1.0999107939339894</v>
      </c>
    </row>
    <row r="25" spans="1:47" ht="15.75" hidden="1">
      <c r="A25" s="5">
        <f>A24+1</f>
        <v>21</v>
      </c>
      <c r="B25" s="9">
        <v>2020</v>
      </c>
      <c r="C25" s="9" t="s">
        <v>4</v>
      </c>
      <c r="D25" s="9" t="s">
        <v>39</v>
      </c>
      <c r="E25" s="7" t="s">
        <v>6</v>
      </c>
      <c r="F25" s="5" t="s">
        <v>68</v>
      </c>
      <c r="G25" s="7" t="s">
        <v>8</v>
      </c>
      <c r="H25" s="7" t="s">
        <v>9</v>
      </c>
      <c r="I25" s="9" t="s">
        <v>45</v>
      </c>
      <c r="J25" s="9">
        <v>0.8</v>
      </c>
      <c r="K25" s="5">
        <v>3158</v>
      </c>
      <c r="L25" s="5">
        <v>14299</v>
      </c>
      <c r="M25" s="5">
        <f t="shared" si="10"/>
        <v>4237.6629909365565</v>
      </c>
      <c r="N25" s="5">
        <f t="shared" si="11"/>
        <v>8026.0247734138975</v>
      </c>
      <c r="O25">
        <f t="shared" si="12"/>
        <v>6666.1703738240267</v>
      </c>
      <c r="P25">
        <f t="shared" si="13"/>
        <v>3219.9999999999964</v>
      </c>
      <c r="Q25">
        <f t="shared" si="14"/>
        <v>447.64229607250752</v>
      </c>
      <c r="R25">
        <f t="shared" si="15"/>
        <v>502.17545317220538</v>
      </c>
      <c r="S25">
        <f t="shared" si="16"/>
        <v>5536.2979125808179</v>
      </c>
      <c r="T25" s="5">
        <v>341426</v>
      </c>
      <c r="U25" s="5">
        <v>89448</v>
      </c>
      <c r="V25" s="5">
        <v>35475</v>
      </c>
      <c r="W25" s="9">
        <f t="shared" si="30"/>
        <v>466349</v>
      </c>
      <c r="Y25" s="2">
        <f t="shared" si="9"/>
        <v>42934.973800000007</v>
      </c>
      <c r="Z25">
        <v>248.17934290030209</v>
      </c>
      <c r="AA25">
        <v>253.99611027190329</v>
      </c>
      <c r="AB25">
        <v>1509.0499999999961</v>
      </c>
      <c r="AC25">
        <v>1710.95</v>
      </c>
      <c r="AD25">
        <v>213.63867069486403</v>
      </c>
      <c r="AE25">
        <v>234.00362537764349</v>
      </c>
      <c r="AF25">
        <v>2035.091163141994</v>
      </c>
      <c r="AG25">
        <v>2202.5718277945621</v>
      </c>
      <c r="AH25">
        <v>3859.4540785498489</v>
      </c>
      <c r="AI25">
        <v>4166.5706948640482</v>
      </c>
      <c r="AJ25">
        <v>2768.148956290408</v>
      </c>
      <c r="AK25">
        <v>2768.1489562904098</v>
      </c>
      <c r="AL25">
        <v>3081.7411253776436</v>
      </c>
      <c r="AM25">
        <v>3584.4292484463831</v>
      </c>
      <c r="AO25" s="9">
        <f t="shared" ref="AO25" si="101">2*AA25/SUM(Z25:AA25)</f>
        <v>1.0115831375963462</v>
      </c>
      <c r="AP25" s="9">
        <f t="shared" ref="AP25" si="102">2*AC25/SUM(AB25:AC25)</f>
        <v>1.0627018633540386</v>
      </c>
      <c r="AQ25" s="9">
        <f t="shared" ref="AQ25" si="103">2*AE25/SUM(AD25:AE25)</f>
        <v>1.0454938124959505</v>
      </c>
      <c r="AR25" s="9">
        <f t="shared" ref="AR25" si="104">2*AG25/SUM(AF25:AG25)</f>
        <v>1.0395219405155087</v>
      </c>
      <c r="AS25" s="9">
        <f t="shared" ref="AS25" si="105">2*AI25/SUM(AH25:AI25)</f>
        <v>1.038265096979456</v>
      </c>
      <c r="AT25" s="9">
        <f t="shared" ref="AT25" si="106">2*AK25/SUM(AJ25:AK25)</f>
        <v>1.0000000000000002</v>
      </c>
      <c r="AU25" s="9">
        <f t="shared" ref="AU25" si="107">2*AM25/SUM(AL25:AM25)</f>
        <v>1.0754088321898641</v>
      </c>
    </row>
    <row r="26" spans="1:47" ht="15.75" hidden="1">
      <c r="A26" s="5">
        <f>A25+1</f>
        <v>22</v>
      </c>
      <c r="B26" s="9">
        <v>2020</v>
      </c>
      <c r="C26" s="9" t="s">
        <v>4</v>
      </c>
      <c r="D26" s="9" t="s">
        <v>39</v>
      </c>
      <c r="E26" s="7" t="s">
        <v>6</v>
      </c>
      <c r="F26" s="5" t="s">
        <v>69</v>
      </c>
      <c r="G26" s="7" t="s">
        <v>8</v>
      </c>
      <c r="H26" s="7" t="s">
        <v>9</v>
      </c>
      <c r="I26" s="9" t="s">
        <v>45</v>
      </c>
      <c r="J26" s="9">
        <v>0.8</v>
      </c>
      <c r="K26" s="5">
        <v>2825</v>
      </c>
      <c r="L26" s="5">
        <v>14299</v>
      </c>
      <c r="M26" s="5">
        <f t="shared" si="10"/>
        <v>4405.1436555891232</v>
      </c>
      <c r="N26" s="5">
        <f t="shared" si="11"/>
        <v>8333.1413897280963</v>
      </c>
      <c r="O26">
        <f t="shared" si="12"/>
        <v>7095.6050024169135</v>
      </c>
      <c r="P26">
        <f t="shared" si="13"/>
        <v>1617.5895015105741</v>
      </c>
      <c r="Q26">
        <f t="shared" si="14"/>
        <v>468.00725075528698</v>
      </c>
      <c r="R26">
        <f t="shared" si="15"/>
        <v>528</v>
      </c>
      <c r="S26">
        <f t="shared" si="16"/>
        <v>6128.0000000000073</v>
      </c>
      <c r="T26" s="5">
        <v>338884</v>
      </c>
      <c r="U26" s="5">
        <v>89447</v>
      </c>
      <c r="V26" s="5">
        <v>35475</v>
      </c>
      <c r="W26" s="9">
        <f t="shared" si="30"/>
        <v>463806</v>
      </c>
      <c r="Y26" s="2">
        <f t="shared" si="9"/>
        <v>42874.486800000006</v>
      </c>
      <c r="Z26">
        <v>264</v>
      </c>
      <c r="AA26">
        <v>264</v>
      </c>
      <c r="AB26">
        <v>693.62197885196383</v>
      </c>
      <c r="AC26">
        <v>923.96752265861028</v>
      </c>
      <c r="AD26">
        <v>223.82114803625376</v>
      </c>
      <c r="AE26">
        <v>244.18610271903322</v>
      </c>
      <c r="AF26">
        <v>2118.8314954682778</v>
      </c>
      <c r="AG26">
        <v>2286.3121601208459</v>
      </c>
      <c r="AH26">
        <v>4013.0123867069483</v>
      </c>
      <c r="AI26">
        <v>4320.1290030211476</v>
      </c>
      <c r="AJ26">
        <v>2768.1489562904062</v>
      </c>
      <c r="AK26">
        <v>3359.8510437096011</v>
      </c>
      <c r="AL26">
        <v>3301.0957326283988</v>
      </c>
      <c r="AM26">
        <v>3794.5092697885148</v>
      </c>
      <c r="AO26" s="9">
        <f t="shared" ref="AO26" si="108">2*AA26/SUM(Z26:AA26)</f>
        <v>1</v>
      </c>
      <c r="AP26" s="9">
        <f t="shared" ref="AP26" si="109">2*AC26/SUM(AB26:AC26)</f>
        <v>1.1424004938159773</v>
      </c>
      <c r="AQ26" s="9">
        <f t="shared" ref="AQ26" si="110">2*AE26/SUM(AD26:AE26)</f>
        <v>1.0435141862650925</v>
      </c>
      <c r="AR26" s="9">
        <f t="shared" ref="AR26" si="111">2*AG26/SUM(AF26:AG26)</f>
        <v>1.0380193423295228</v>
      </c>
      <c r="AS26" s="9">
        <f t="shared" ref="AS26" si="112">2*AI26/SUM(AH26:AI26)</f>
        <v>1.0368548428438726</v>
      </c>
      <c r="AT26" s="9">
        <f t="shared" ref="AT26" si="113">2*AK26/SUM(AJ26:AK26)</f>
        <v>1.0965571291480409</v>
      </c>
      <c r="AU26" s="9">
        <f t="shared" ref="AU26" si="114">2*AM26/SUM(AL26:AM26)</f>
        <v>1.0695379093103476</v>
      </c>
    </row>
    <row r="27" spans="1:47" ht="15.75" hidden="1">
      <c r="A27" s="5">
        <f>A26+1</f>
        <v>23</v>
      </c>
      <c r="B27" s="9">
        <v>2020</v>
      </c>
      <c r="C27" s="9" t="s">
        <v>4</v>
      </c>
      <c r="D27" s="9" t="s">
        <v>39</v>
      </c>
      <c r="E27" s="7" t="s">
        <v>6</v>
      </c>
      <c r="F27" s="5" t="s">
        <v>70</v>
      </c>
      <c r="G27" s="7" t="s">
        <v>8</v>
      </c>
      <c r="H27" s="7" t="s">
        <v>9</v>
      </c>
      <c r="I27" s="9" t="s">
        <v>45</v>
      </c>
      <c r="J27" s="9">
        <v>0.8</v>
      </c>
      <c r="K27" s="5">
        <v>2924</v>
      </c>
      <c r="L27" s="5">
        <v>14299</v>
      </c>
      <c r="M27" s="5">
        <f t="shared" si="10"/>
        <v>4405.1436555891232</v>
      </c>
      <c r="N27" s="5">
        <f t="shared" si="11"/>
        <v>8333.1413897280963</v>
      </c>
      <c r="O27">
        <f t="shared" si="12"/>
        <v>7040.9006797583079</v>
      </c>
      <c r="P27">
        <f t="shared" si="13"/>
        <v>1571.5203927492448</v>
      </c>
      <c r="Q27">
        <f t="shared" si="14"/>
        <v>672.00000000000068</v>
      </c>
      <c r="R27">
        <f t="shared" si="15"/>
        <v>507.99222054380658</v>
      </c>
      <c r="S27">
        <f t="shared" si="16"/>
        <v>6081.0806616314239</v>
      </c>
      <c r="T27" s="5">
        <v>339303</v>
      </c>
      <c r="U27" s="5">
        <v>89448</v>
      </c>
      <c r="V27" s="5">
        <v>35475</v>
      </c>
      <c r="W27" s="9">
        <f t="shared" si="30"/>
        <v>464226</v>
      </c>
      <c r="Y27" s="2">
        <f t="shared" si="9"/>
        <v>42910.779000000002</v>
      </c>
      <c r="Z27">
        <v>251.08772658610269</v>
      </c>
      <c r="AA27">
        <v>256.90449395770389</v>
      </c>
      <c r="AB27">
        <v>693.62197885196383</v>
      </c>
      <c r="AC27">
        <v>877.89841389728099</v>
      </c>
      <c r="AD27">
        <v>335.70000000000067</v>
      </c>
      <c r="AE27">
        <v>336.3</v>
      </c>
      <c r="AF27">
        <v>2118.8314954682778</v>
      </c>
      <c r="AG27">
        <v>2286.3121601208459</v>
      </c>
      <c r="AH27">
        <v>4013.0123867069483</v>
      </c>
      <c r="AI27">
        <v>4320.1290030211476</v>
      </c>
      <c r="AJ27">
        <v>2768.1489562904076</v>
      </c>
      <c r="AK27">
        <v>3312.9317053410164</v>
      </c>
      <c r="AL27">
        <v>3301.0957326283988</v>
      </c>
      <c r="AM27">
        <v>3739.8049471299091</v>
      </c>
      <c r="AO27" s="9">
        <f t="shared" ref="AO27" si="115">2*AA27/SUM(Z27:AA27)</f>
        <v>1.0114505048234288</v>
      </c>
      <c r="AP27" s="9">
        <f t="shared" ref="AP27" si="116">2*AC27/SUM(AB27:AC27)</f>
        <v>1.1172599705963349</v>
      </c>
      <c r="AQ27" s="9">
        <f t="shared" ref="AQ27" si="117">2*AE27/SUM(AD27:AE27)</f>
        <v>1.0008928571428561</v>
      </c>
      <c r="AR27" s="9">
        <f t="shared" ref="AR27" si="118">2*AG27/SUM(AF27:AG27)</f>
        <v>1.0380193423295228</v>
      </c>
      <c r="AS27" s="9">
        <f t="shared" ref="AS27" si="119">2*AI27/SUM(AH27:AI27)</f>
        <v>1.0368548428438726</v>
      </c>
      <c r="AT27" s="9">
        <f t="shared" ref="AT27" si="120">2*AK27/SUM(AJ27:AK27)</f>
        <v>1.0895865026898781</v>
      </c>
      <c r="AU27" s="9">
        <f t="shared" ref="AU27" si="121">2*AM27/SUM(AL27:AM27)</f>
        <v>1.0623086781727717</v>
      </c>
    </row>
    <row r="28" spans="1:47" ht="15.75" hidden="1">
      <c r="A28" s="5">
        <f>A27+1</f>
        <v>24</v>
      </c>
      <c r="B28" s="9">
        <v>2020</v>
      </c>
      <c r="C28" s="9" t="s">
        <v>4</v>
      </c>
      <c r="D28" s="9" t="s">
        <v>39</v>
      </c>
      <c r="E28" s="7" t="s">
        <v>6</v>
      </c>
      <c r="F28" s="7" t="s">
        <v>7</v>
      </c>
      <c r="G28" s="7" t="s">
        <v>8</v>
      </c>
      <c r="H28" s="7" t="s">
        <v>9</v>
      </c>
      <c r="I28" s="9" t="s">
        <v>47</v>
      </c>
      <c r="J28" s="9">
        <v>0.8</v>
      </c>
      <c r="K28" s="5">
        <v>2250</v>
      </c>
      <c r="L28" s="5">
        <v>14299</v>
      </c>
      <c r="M28" s="5">
        <f t="shared" si="10"/>
        <v>4405.1436555891241</v>
      </c>
      <c r="N28" s="5">
        <f t="shared" si="11"/>
        <v>8333.1413897280963</v>
      </c>
      <c r="O28">
        <f t="shared" si="12"/>
        <v>7115.6127818731056</v>
      </c>
      <c r="P28">
        <f t="shared" si="13"/>
        <v>1617.5895015105741</v>
      </c>
      <c r="Q28">
        <f t="shared" si="14"/>
        <v>468.00725075528698</v>
      </c>
      <c r="R28">
        <f t="shared" si="15"/>
        <v>507.99222054380664</v>
      </c>
      <c r="S28">
        <f t="shared" si="16"/>
        <v>6128.0000000000073</v>
      </c>
      <c r="T28" s="5">
        <v>340919</v>
      </c>
      <c r="U28" s="5">
        <v>89447</v>
      </c>
      <c r="V28" s="5">
        <v>35475</v>
      </c>
      <c r="W28" s="9">
        <f t="shared" si="30"/>
        <v>465841</v>
      </c>
      <c r="Y28" s="2">
        <f t="shared" si="9"/>
        <v>42874.486799999999</v>
      </c>
      <c r="Z28">
        <v>248.17934290030209</v>
      </c>
      <c r="AA28">
        <v>259.81287764350452</v>
      </c>
      <c r="AB28">
        <v>601.48376132930514</v>
      </c>
      <c r="AC28">
        <v>1016.105740181269</v>
      </c>
      <c r="AD28">
        <v>213.63867069486403</v>
      </c>
      <c r="AE28">
        <v>254.36858006042294</v>
      </c>
      <c r="AF28">
        <v>2035.091163141994</v>
      </c>
      <c r="AG28">
        <v>2370.0524924471301</v>
      </c>
      <c r="AH28">
        <v>3859.4540785498489</v>
      </c>
      <c r="AI28">
        <v>4473.687311178247</v>
      </c>
      <c r="AJ28">
        <v>2768.1489562904076</v>
      </c>
      <c r="AK28">
        <v>3359.8510437096002</v>
      </c>
      <c r="AL28">
        <v>3081.7411253776436</v>
      </c>
      <c r="AM28">
        <v>4033.871656495462</v>
      </c>
      <c r="AO28" s="9">
        <f t="shared" ref="AO28" si="122">2*AA28/SUM(Z28:AA28)</f>
        <v>1.0229010096468578</v>
      </c>
      <c r="AP28" s="9">
        <f t="shared" ref="AP28" si="123">2*AC28/SUM(AB28:AC28)</f>
        <v>1.2563208888687594</v>
      </c>
      <c r="AQ28" s="9">
        <f t="shared" ref="AQ28" si="124">2*AE28/SUM(AD28:AE28)</f>
        <v>1.0870283725301852</v>
      </c>
      <c r="AR28" s="9">
        <f t="shared" ref="AR28" si="125">2*AG28/SUM(AF28:AG28)</f>
        <v>1.0760386846590455</v>
      </c>
      <c r="AS28" s="9">
        <f t="shared" ref="AS28" si="126">2*AI28/SUM(AH28:AI28)</f>
        <v>1.0737096856877451</v>
      </c>
      <c r="AT28" s="9">
        <f t="shared" ref="AT28" si="127">2*AK28/SUM(AJ28:AK28)</f>
        <v>1.0965571291480405</v>
      </c>
      <c r="AU28" s="9">
        <f t="shared" ref="AU28" si="128">2*AM28/SUM(AL28:AM28)</f>
        <v>1.1338086487144654</v>
      </c>
    </row>
    <row r="29" spans="1:47" ht="15.75">
      <c r="A29" s="5">
        <f>A28+1</f>
        <v>25</v>
      </c>
      <c r="B29" s="9">
        <v>2020</v>
      </c>
      <c r="C29" s="9" t="s">
        <v>4</v>
      </c>
      <c r="D29" s="9" t="s">
        <v>5</v>
      </c>
      <c r="E29" s="7" t="s">
        <v>6</v>
      </c>
      <c r="F29" s="7" t="s">
        <v>7</v>
      </c>
      <c r="G29" s="7" t="s">
        <v>8</v>
      </c>
      <c r="H29" s="7" t="s">
        <v>9</v>
      </c>
      <c r="I29" s="9" t="s">
        <v>47</v>
      </c>
      <c r="J29" s="9">
        <v>0.8</v>
      </c>
      <c r="K29" s="5">
        <v>2928</v>
      </c>
      <c r="L29" s="5">
        <v>6165</v>
      </c>
      <c r="M29" s="5">
        <f t="shared" si="10"/>
        <v>5089.2924710424713</v>
      </c>
      <c r="N29" s="5">
        <f t="shared" si="11"/>
        <v>9583.2939476447827</v>
      </c>
      <c r="O29">
        <f t="shared" si="12"/>
        <v>8833.0024131274131</v>
      </c>
      <c r="P29">
        <f t="shared" si="13"/>
        <v>2324.278957528958</v>
      </c>
      <c r="Q29">
        <f t="shared" si="14"/>
        <v>551.19691119691106</v>
      </c>
      <c r="R29">
        <f t="shared" si="15"/>
        <v>520.58445945945937</v>
      </c>
      <c r="S29">
        <f t="shared" si="16"/>
        <v>6128.0000000000027</v>
      </c>
      <c r="T29" s="5">
        <v>329040</v>
      </c>
      <c r="U29" s="5">
        <v>47021</v>
      </c>
      <c r="V29" s="5">
        <v>71932</v>
      </c>
      <c r="W29" s="9">
        <f t="shared" si="30"/>
        <v>447993</v>
      </c>
      <c r="Y29" s="2">
        <f t="shared" si="9"/>
        <v>39194.649159999994</v>
      </c>
      <c r="Z29">
        <v>256.58445945945942</v>
      </c>
      <c r="AA29">
        <v>264</v>
      </c>
      <c r="AB29">
        <v>926.63561776061783</v>
      </c>
      <c r="AC29">
        <v>1397.64333976834</v>
      </c>
      <c r="AD29">
        <v>249.57220077220074</v>
      </c>
      <c r="AE29">
        <v>301.62471042471037</v>
      </c>
      <c r="AF29">
        <v>2330.6072393822396</v>
      </c>
      <c r="AG29">
        <v>2758.6852316602317</v>
      </c>
      <c r="AH29">
        <v>4396.9537932046287</v>
      </c>
      <c r="AI29">
        <v>5186.340154440154</v>
      </c>
      <c r="AJ29">
        <v>2768.1489562904062</v>
      </c>
      <c r="AK29">
        <v>3359.8510437095965</v>
      </c>
      <c r="AL29">
        <v>3855.8342181467183</v>
      </c>
      <c r="AM29">
        <v>4977.1681949806953</v>
      </c>
      <c r="AO29" s="9">
        <f t="shared" ref="AO29:AO30" si="129">2*AA29/SUM(Z29:AA29)</f>
        <v>1.0142446444679514</v>
      </c>
      <c r="AP29" s="9">
        <f t="shared" ref="AP29:AP30" si="130">2*AC29/SUM(AB29:AC29)</f>
        <v>1.2026468124585488</v>
      </c>
      <c r="AQ29" s="9">
        <f t="shared" ref="AQ29:AQ30" si="131">2*AE29/SUM(AD29:AE29)</f>
        <v>1.0944354160829364</v>
      </c>
      <c r="AR29" s="9">
        <f t="shared" ref="AR29:AR30" si="132">2*AG29/SUM(AF29:AG29)</f>
        <v>1.0841134587398367</v>
      </c>
      <c r="AS29" s="9">
        <f t="shared" ref="AS29:AS30" si="133">2*AI29/SUM(AH29:AI29)</f>
        <v>1.0823710892672271</v>
      </c>
      <c r="AT29" s="9">
        <f t="shared" ref="AT29:AT30" si="134">2*AK29/SUM(AJ29:AK29)</f>
        <v>1.09655712914804</v>
      </c>
      <c r="AU29" s="9">
        <f t="shared" ref="AU29:AU30" si="135">2*AM29/SUM(AL29:AM29)</f>
        <v>1.1269482248943434</v>
      </c>
    </row>
    <row r="30" spans="1:47" ht="15.75" hidden="1">
      <c r="A30" s="5">
        <f t="shared" ref="A30:A41" si="136">A29+1</f>
        <v>26</v>
      </c>
      <c r="B30" s="9">
        <v>2020</v>
      </c>
      <c r="C30" s="9" t="s">
        <v>4</v>
      </c>
      <c r="D30" s="9" t="s">
        <v>5</v>
      </c>
      <c r="E30" s="7" t="s">
        <v>6</v>
      </c>
      <c r="F30" s="5" t="s">
        <v>48</v>
      </c>
      <c r="G30" s="7" t="s">
        <v>8</v>
      </c>
      <c r="H30" s="7" t="s">
        <v>9</v>
      </c>
      <c r="I30" s="9" t="s">
        <v>47</v>
      </c>
      <c r="J30" s="9">
        <v>0.8</v>
      </c>
      <c r="K30" s="5">
        <v>2688</v>
      </c>
      <c r="L30" s="5">
        <v>6165</v>
      </c>
      <c r="M30" s="5">
        <f t="shared" si="10"/>
        <v>6123.9999999999991</v>
      </c>
      <c r="N30" s="5">
        <f t="shared" si="11"/>
        <v>9293.3254826254815</v>
      </c>
      <c r="O30">
        <f t="shared" si="12"/>
        <v>8412.1389109652464</v>
      </c>
      <c r="P30">
        <f t="shared" si="13"/>
        <v>2088.7750965250971</v>
      </c>
      <c r="Q30">
        <f t="shared" si="14"/>
        <v>525.17065637065639</v>
      </c>
      <c r="R30">
        <f t="shared" si="15"/>
        <v>518.72601351351352</v>
      </c>
      <c r="S30">
        <f t="shared" si="16"/>
        <v>6128.0000000000073</v>
      </c>
      <c r="T30" s="5">
        <v>314625</v>
      </c>
      <c r="U30" s="5">
        <v>47021</v>
      </c>
      <c r="V30" s="5">
        <v>71932</v>
      </c>
      <c r="W30" s="9">
        <f t="shared" si="30"/>
        <v>433578</v>
      </c>
      <c r="Y30" s="2">
        <f t="shared" si="9"/>
        <v>39255.136160000002</v>
      </c>
      <c r="Z30">
        <v>254.72601351351349</v>
      </c>
      <c r="AA30">
        <v>264</v>
      </c>
      <c r="AB30">
        <v>808.88368725868736</v>
      </c>
      <c r="AC30">
        <v>1279.8914092664095</v>
      </c>
      <c r="AD30">
        <v>236.55907335907335</v>
      </c>
      <c r="AE30">
        <v>288.61158301158298</v>
      </c>
      <c r="AF30">
        <v>2755.7999999999988</v>
      </c>
      <c r="AG30">
        <v>3368.2000000000003</v>
      </c>
      <c r="AH30">
        <v>4205.1084942084935</v>
      </c>
      <c r="AI30">
        <v>5088.216988416988</v>
      </c>
      <c r="AJ30">
        <v>2768.1489562904053</v>
      </c>
      <c r="AK30">
        <v>3359.851043709602</v>
      </c>
      <c r="AL30">
        <v>3575.5007239382239</v>
      </c>
      <c r="AM30">
        <v>4836.6381870270225</v>
      </c>
      <c r="AO30" s="9">
        <f t="shared" si="129"/>
        <v>1.0178783909904008</v>
      </c>
      <c r="AP30" s="9">
        <f t="shared" si="130"/>
        <v>1.2254947039493596</v>
      </c>
      <c r="AQ30" s="9">
        <f t="shared" si="131"/>
        <v>1.0991154189996706</v>
      </c>
      <c r="AR30" s="9">
        <f t="shared" si="132"/>
        <v>1.1000000000000003</v>
      </c>
      <c r="AS30" s="9">
        <f t="shared" si="133"/>
        <v>1.0950261018899561</v>
      </c>
      <c r="AT30" s="9">
        <f t="shared" si="134"/>
        <v>1.0965571291480412</v>
      </c>
      <c r="AU30" s="9">
        <f t="shared" si="135"/>
        <v>1.1499187634009351</v>
      </c>
    </row>
    <row r="31" spans="1:47" ht="15.75" hidden="1">
      <c r="A31" s="5">
        <f t="shared" si="136"/>
        <v>27</v>
      </c>
      <c r="B31" s="9">
        <v>2020</v>
      </c>
      <c r="C31" s="9" t="s">
        <v>4</v>
      </c>
      <c r="D31" s="9" t="s">
        <v>5</v>
      </c>
      <c r="E31" s="7" t="s">
        <v>6</v>
      </c>
      <c r="F31" s="5" t="s">
        <v>59</v>
      </c>
      <c r="G31" s="7" t="s">
        <v>8</v>
      </c>
      <c r="H31" s="7" t="s">
        <v>9</v>
      </c>
      <c r="I31" s="9" t="s">
        <v>47</v>
      </c>
      <c r="J31" s="9">
        <v>0.8</v>
      </c>
      <c r="K31" s="5">
        <v>2606</v>
      </c>
      <c r="L31" s="5">
        <v>6165</v>
      </c>
      <c r="M31" s="5">
        <f t="shared" si="10"/>
        <v>4714.7242277992282</v>
      </c>
      <c r="N31" s="5">
        <f t="shared" si="11"/>
        <v>11504.000000000002</v>
      </c>
      <c r="O31">
        <f t="shared" si="12"/>
        <v>7851.835183397684</v>
      </c>
      <c r="P31">
        <f t="shared" si="13"/>
        <v>1877.4232256370578</v>
      </c>
      <c r="Q31">
        <f t="shared" si="14"/>
        <v>499.14440154440149</v>
      </c>
      <c r="R31">
        <f t="shared" si="15"/>
        <v>515.0091216216216</v>
      </c>
      <c r="S31">
        <f t="shared" si="16"/>
        <v>6128.0000000000027</v>
      </c>
      <c r="T31" s="5">
        <v>302059</v>
      </c>
      <c r="U31" s="5">
        <v>47021</v>
      </c>
      <c r="V31" s="5">
        <v>71932</v>
      </c>
      <c r="W31" s="9">
        <f t="shared" si="30"/>
        <v>421012</v>
      </c>
      <c r="Y31" s="2">
        <f t="shared" si="9"/>
        <v>39255.136159999995</v>
      </c>
      <c r="Z31">
        <v>251.0091216216216</v>
      </c>
      <c r="AA31">
        <v>264</v>
      </c>
      <c r="AB31">
        <v>691.13175675675677</v>
      </c>
      <c r="AC31">
        <v>1186.291468880301</v>
      </c>
      <c r="AD31">
        <v>223.54594594594593</v>
      </c>
      <c r="AE31">
        <v>275.59845559845559</v>
      </c>
      <c r="AF31">
        <v>2116.5682432432432</v>
      </c>
      <c r="AG31">
        <v>2598.1559845559846</v>
      </c>
      <c r="AH31">
        <v>5176.8000000000011</v>
      </c>
      <c r="AI31">
        <v>6327.2000000000007</v>
      </c>
      <c r="AJ31">
        <v>2768.1489562904053</v>
      </c>
      <c r="AK31">
        <v>3359.8510437095974</v>
      </c>
      <c r="AL31">
        <v>3295.16722972973</v>
      </c>
      <c r="AM31">
        <v>4556.667953667954</v>
      </c>
      <c r="AO31" s="9">
        <f t="shared" ref="AO31" si="137">2*AA31/SUM(Z31:AA31)</f>
        <v>1.0252245597854146</v>
      </c>
      <c r="AP31" s="9">
        <f t="shared" ref="AP31" si="138">2*AC31/SUM(AB31:AC31)</f>
        <v>1.2637443200669491</v>
      </c>
      <c r="AQ31" s="9">
        <f t="shared" ref="AQ31" si="139">2*AE31/SUM(AD31:AE31)</f>
        <v>1.1042834688548127</v>
      </c>
      <c r="AR31" s="9">
        <f t="shared" ref="AR31" si="140">2*AG31/SUM(AF31:AG31)</f>
        <v>1.1021454740604288</v>
      </c>
      <c r="AS31" s="9">
        <f t="shared" ref="AS31" si="141">2*AI31/SUM(AH31:AI31)</f>
        <v>1.0999999999999999</v>
      </c>
      <c r="AT31" s="9">
        <f t="shared" ref="AT31" si="142">2*AK31/SUM(AJ31:AK31)</f>
        <v>1.0965571291480405</v>
      </c>
      <c r="AU31" s="9">
        <f t="shared" ref="AU31" si="143">2*AM31/SUM(AL31:AM31)</f>
        <v>1.1606631691156233</v>
      </c>
    </row>
    <row r="32" spans="1:47" ht="15.75" hidden="1">
      <c r="A32" s="5">
        <f t="shared" si="136"/>
        <v>28</v>
      </c>
      <c r="B32" s="9">
        <v>2020</v>
      </c>
      <c r="C32" s="9" t="s">
        <v>4</v>
      </c>
      <c r="D32" s="9" t="s">
        <v>5</v>
      </c>
      <c r="E32" s="7" t="s">
        <v>6</v>
      </c>
      <c r="F32" s="5" t="s">
        <v>60</v>
      </c>
      <c r="G32" s="7" t="s">
        <v>8</v>
      </c>
      <c r="H32" s="7" t="s">
        <v>9</v>
      </c>
      <c r="I32" s="9" t="s">
        <v>47</v>
      </c>
      <c r="J32" s="9">
        <v>0.8</v>
      </c>
      <c r="K32" s="5">
        <v>2826</v>
      </c>
      <c r="L32" s="5">
        <v>6165</v>
      </c>
      <c r="M32" s="5">
        <f t="shared" si="10"/>
        <v>4500.6852316602317</v>
      </c>
      <c r="N32" s="5">
        <f t="shared" si="11"/>
        <v>8535.4004746718092</v>
      </c>
      <c r="O32">
        <f t="shared" si="12"/>
        <v>11210</v>
      </c>
      <c r="P32">
        <f t="shared" si="13"/>
        <v>1725.1335135135137</v>
      </c>
      <c r="Q32">
        <f t="shared" si="14"/>
        <v>479.62471042471043</v>
      </c>
      <c r="R32">
        <f t="shared" si="15"/>
        <v>511.29222972972968</v>
      </c>
      <c r="S32">
        <f t="shared" si="16"/>
        <v>6128.0000000000073</v>
      </c>
      <c r="T32" s="5">
        <v>302693</v>
      </c>
      <c r="U32" s="5">
        <v>47021</v>
      </c>
      <c r="V32" s="5">
        <v>71932</v>
      </c>
      <c r="W32" s="9">
        <f t="shared" si="30"/>
        <v>421646</v>
      </c>
      <c r="Y32" s="2">
        <f t="shared" si="9"/>
        <v>39255.136159999995</v>
      </c>
      <c r="Z32">
        <v>247.29222972972971</v>
      </c>
      <c r="AA32">
        <v>264</v>
      </c>
      <c r="AB32">
        <v>621.87</v>
      </c>
      <c r="AC32">
        <v>1103.2635135135135</v>
      </c>
      <c r="AD32">
        <v>210.53281853281854</v>
      </c>
      <c r="AE32">
        <v>269.09189189189186</v>
      </c>
      <c r="AF32">
        <v>2009.5487451737451</v>
      </c>
      <c r="AG32">
        <v>2491.1364864864868</v>
      </c>
      <c r="AH32">
        <v>3839.6761503474845</v>
      </c>
      <c r="AI32">
        <v>4695.7243243243238</v>
      </c>
      <c r="AJ32">
        <v>2768.1489562904044</v>
      </c>
      <c r="AK32">
        <v>3359.8510437096029</v>
      </c>
      <c r="AL32">
        <v>5045</v>
      </c>
      <c r="AM32">
        <v>6165</v>
      </c>
      <c r="AO32" s="9">
        <f t="shared" ref="AO32" si="144">2*AA32/SUM(Z32:AA32)</f>
        <v>1.0326775360523317</v>
      </c>
      <c r="AP32" s="9">
        <f t="shared" ref="AP32" si="145">2*AC32/SUM(AB32:AC32)</f>
        <v>1.2790471054805941</v>
      </c>
      <c r="AQ32" s="9">
        <f t="shared" ref="AQ32" si="146">2*AE32/SUM(AD32:AE32)</f>
        <v>1.1220935287241953</v>
      </c>
      <c r="AR32" s="9">
        <f t="shared" ref="AR32" si="147">2*AG32/SUM(AF32:AG32)</f>
        <v>1.107003204295425</v>
      </c>
      <c r="AS32" s="9">
        <f t="shared" ref="AS32" si="148">2*AI32/SUM(AH32:AI32)</f>
        <v>1.1002938498922341</v>
      </c>
      <c r="AT32" s="9">
        <f t="shared" ref="AT32" si="149">2*AK32/SUM(AJ32:AK32)</f>
        <v>1.0965571291480414</v>
      </c>
      <c r="AU32" s="9">
        <f t="shared" ref="AU32" si="150">2*AM32/SUM(AL32:AM32)</f>
        <v>1.0999107939339876</v>
      </c>
    </row>
    <row r="33" spans="1:47" ht="15.75" hidden="1">
      <c r="A33" s="5">
        <f t="shared" si="136"/>
        <v>29</v>
      </c>
      <c r="B33" s="9">
        <v>2020</v>
      </c>
      <c r="C33" s="9" t="s">
        <v>4</v>
      </c>
      <c r="D33" s="9" t="s">
        <v>5</v>
      </c>
      <c r="E33" s="7" t="s">
        <v>6</v>
      </c>
      <c r="F33" s="5" t="s">
        <v>68</v>
      </c>
      <c r="G33" s="7" t="s">
        <v>8</v>
      </c>
      <c r="H33" s="7" t="s">
        <v>9</v>
      </c>
      <c r="I33" s="9" t="s">
        <v>47</v>
      </c>
      <c r="J33" s="9">
        <v>0.8</v>
      </c>
      <c r="K33" s="5">
        <v>2913</v>
      </c>
      <c r="L33" s="5">
        <v>6165</v>
      </c>
      <c r="M33" s="5">
        <f t="shared" si="10"/>
        <v>4928.7632239382237</v>
      </c>
      <c r="N33" s="5">
        <f t="shared" si="11"/>
        <v>9312.0401111567116</v>
      </c>
      <c r="O33">
        <f t="shared" si="12"/>
        <v>8450.9295913143214</v>
      </c>
      <c r="P33">
        <f t="shared" si="13"/>
        <v>3220.0000000000009</v>
      </c>
      <c r="Q33">
        <f t="shared" si="14"/>
        <v>531.67722007722</v>
      </c>
      <c r="R33">
        <f t="shared" si="15"/>
        <v>518.72601351351352</v>
      </c>
      <c r="S33">
        <f t="shared" si="16"/>
        <v>6128.0000000000082</v>
      </c>
      <c r="T33" s="5">
        <v>321294</v>
      </c>
      <c r="U33" s="5">
        <v>47021</v>
      </c>
      <c r="V33" s="5">
        <v>71932</v>
      </c>
      <c r="W33" s="9">
        <f t="shared" si="30"/>
        <v>440247</v>
      </c>
      <c r="Y33" s="2">
        <f t="shared" si="9"/>
        <v>39255.136159999995</v>
      </c>
      <c r="Z33">
        <v>254.72601351351349</v>
      </c>
      <c r="AA33">
        <v>264</v>
      </c>
      <c r="AB33">
        <v>1509.0500000000009</v>
      </c>
      <c r="AC33">
        <v>1710.95</v>
      </c>
      <c r="AD33">
        <v>236.55907335907335</v>
      </c>
      <c r="AE33">
        <v>295.1181467181467</v>
      </c>
      <c r="AF33">
        <v>2223.5877413127414</v>
      </c>
      <c r="AG33">
        <v>2705.1754826254828</v>
      </c>
      <c r="AH33">
        <v>4223.8231227397246</v>
      </c>
      <c r="AI33">
        <v>5088.216988416988</v>
      </c>
      <c r="AJ33">
        <v>2768.148956290408</v>
      </c>
      <c r="AK33">
        <v>3359.8510437096002</v>
      </c>
      <c r="AL33">
        <v>3613.9281434378731</v>
      </c>
      <c r="AM33">
        <v>4837.0014478764479</v>
      </c>
      <c r="AO33" s="9">
        <f t="shared" ref="AO33" si="151">2*AA33/SUM(Z33:AA33)</f>
        <v>1.0178783909904008</v>
      </c>
      <c r="AP33" s="9">
        <f t="shared" ref="AP33" si="152">2*AC33/SUM(AB33:AC33)</f>
        <v>1.062701863354037</v>
      </c>
      <c r="AQ33" s="9">
        <f t="shared" ref="AQ33" si="153">2*AE33/SUM(AD33:AE33)</f>
        <v>1.110140271480069</v>
      </c>
      <c r="AR33" s="9">
        <f t="shared" ref="AR33" si="154">2*AG33/SUM(AF33:AG33)</f>
        <v>1.0977096523877929</v>
      </c>
      <c r="AS33" s="9">
        <f t="shared" ref="AS33" si="155">2*AI33/SUM(AH33:AI33)</f>
        <v>1.0928254018839156</v>
      </c>
      <c r="AT33" s="9">
        <f t="shared" ref="AT33" si="156">2*AK33/SUM(AJ33:AK33)</f>
        <v>1.0965571291480403</v>
      </c>
      <c r="AU33" s="9">
        <f t="shared" ref="AU33" si="157">2*AM33/SUM(AL33:AM33)</f>
        <v>1.1447264814152069</v>
      </c>
    </row>
    <row r="34" spans="1:47" ht="15.75" hidden="1">
      <c r="A34" s="5">
        <f t="shared" si="136"/>
        <v>30</v>
      </c>
      <c r="B34" s="9">
        <v>2020</v>
      </c>
      <c r="C34" s="9" t="s">
        <v>4</v>
      </c>
      <c r="D34" s="9" t="s">
        <v>5</v>
      </c>
      <c r="E34" s="7" t="s">
        <v>6</v>
      </c>
      <c r="F34" s="5" t="s">
        <v>69</v>
      </c>
      <c r="G34" s="7" t="s">
        <v>8</v>
      </c>
      <c r="H34" s="7" t="s">
        <v>9</v>
      </c>
      <c r="I34" s="9" t="s">
        <v>47</v>
      </c>
      <c r="J34" s="9">
        <v>0.8</v>
      </c>
      <c r="K34" s="5">
        <v>2928</v>
      </c>
      <c r="L34" s="5">
        <v>6165</v>
      </c>
      <c r="M34" s="5">
        <f t="shared" si="10"/>
        <v>5089.2924710424713</v>
      </c>
      <c r="N34" s="5">
        <f t="shared" si="11"/>
        <v>9575.878407104241</v>
      </c>
      <c r="O34">
        <f t="shared" si="12"/>
        <v>8833.0024131274131</v>
      </c>
      <c r="P34">
        <f t="shared" si="13"/>
        <v>2324.278957528958</v>
      </c>
      <c r="Q34">
        <f t="shared" si="14"/>
        <v>551.19691119691106</v>
      </c>
      <c r="R34">
        <f t="shared" si="15"/>
        <v>528</v>
      </c>
      <c r="S34">
        <f t="shared" si="16"/>
        <v>6128.0000000000027</v>
      </c>
      <c r="T34" s="5">
        <v>327802</v>
      </c>
      <c r="U34" s="5">
        <v>47021</v>
      </c>
      <c r="V34" s="5">
        <v>71932</v>
      </c>
      <c r="W34" s="9">
        <f t="shared" si="30"/>
        <v>446755</v>
      </c>
      <c r="Y34" s="2">
        <f t="shared" si="9"/>
        <v>39194.649159999986</v>
      </c>
      <c r="Z34">
        <v>264</v>
      </c>
      <c r="AA34">
        <v>264</v>
      </c>
      <c r="AB34">
        <v>926.63561776061783</v>
      </c>
      <c r="AC34">
        <v>1397.64333976834</v>
      </c>
      <c r="AD34">
        <v>249.57220077220074</v>
      </c>
      <c r="AE34">
        <v>301.62471042471037</v>
      </c>
      <c r="AF34">
        <v>2330.6072393822396</v>
      </c>
      <c r="AG34">
        <v>2758.6852316602317</v>
      </c>
      <c r="AH34">
        <v>4389.5382526640869</v>
      </c>
      <c r="AI34">
        <v>5186.340154440154</v>
      </c>
      <c r="AJ34">
        <v>2768.1489562904039</v>
      </c>
      <c r="AK34">
        <v>3359.8510437095988</v>
      </c>
      <c r="AL34">
        <v>3855.8342181467183</v>
      </c>
      <c r="AM34">
        <v>4977.1681949806953</v>
      </c>
      <c r="AO34" s="9">
        <f t="shared" ref="AO34" si="158">2*AA34/SUM(Z34:AA34)</f>
        <v>1</v>
      </c>
      <c r="AP34" s="9">
        <f t="shared" ref="AP34" si="159">2*AC34/SUM(AB34:AC34)</f>
        <v>1.2026468124585488</v>
      </c>
      <c r="AQ34" s="9">
        <f t="shared" ref="AQ34" si="160">2*AE34/SUM(AD34:AE34)</f>
        <v>1.0944354160829364</v>
      </c>
      <c r="AR34" s="9">
        <f t="shared" ref="AR34" si="161">2*AG34/SUM(AF34:AG34)</f>
        <v>1.0841134587398367</v>
      </c>
      <c r="AS34" s="9">
        <f t="shared" ref="AS34" si="162">2*AI34/SUM(AH34:AI34)</f>
        <v>1.0832092752122802</v>
      </c>
      <c r="AT34" s="9">
        <f t="shared" ref="AT34" si="163">2*AK34/SUM(AJ34:AK34)</f>
        <v>1.0965571291480409</v>
      </c>
      <c r="AU34" s="9">
        <f t="shared" ref="AU34" si="164">2*AM34/SUM(AL34:AM34)</f>
        <v>1.1269482248943434</v>
      </c>
    </row>
    <row r="35" spans="1:47" ht="15.75" hidden="1">
      <c r="A35" s="5">
        <f t="shared" si="136"/>
        <v>31</v>
      </c>
      <c r="B35" s="9">
        <v>2020</v>
      </c>
      <c r="C35" s="9" t="s">
        <v>4</v>
      </c>
      <c r="D35" s="9" t="s">
        <v>5</v>
      </c>
      <c r="E35" s="7" t="s">
        <v>6</v>
      </c>
      <c r="F35" s="5" t="s">
        <v>70</v>
      </c>
      <c r="G35" s="7" t="s">
        <v>8</v>
      </c>
      <c r="H35" s="7" t="s">
        <v>9</v>
      </c>
      <c r="I35" s="9" t="s">
        <v>47</v>
      </c>
      <c r="J35" s="9">
        <v>0.8</v>
      </c>
      <c r="K35" s="5">
        <v>2893</v>
      </c>
      <c r="L35" s="5">
        <v>6165</v>
      </c>
      <c r="M35" s="5">
        <f t="shared" si="10"/>
        <v>5062.2115152123506</v>
      </c>
      <c r="N35" s="5">
        <f t="shared" si="11"/>
        <v>9489.5718146718136</v>
      </c>
      <c r="O35">
        <f t="shared" si="12"/>
        <v>8833.0024131274131</v>
      </c>
      <c r="P35">
        <f t="shared" si="13"/>
        <v>2324.278957528958</v>
      </c>
      <c r="Q35">
        <f t="shared" si="14"/>
        <v>672</v>
      </c>
      <c r="R35">
        <f t="shared" si="15"/>
        <v>520.58445945945937</v>
      </c>
      <c r="S35">
        <f t="shared" si="16"/>
        <v>6128.0000000000018</v>
      </c>
      <c r="T35" s="5">
        <v>327491</v>
      </c>
      <c r="U35" s="5">
        <v>47021</v>
      </c>
      <c r="V35" s="5">
        <v>71932</v>
      </c>
      <c r="W35" s="9">
        <f t="shared" si="30"/>
        <v>446444</v>
      </c>
      <c r="Y35" s="2">
        <f t="shared" si="9"/>
        <v>39194.649159999994</v>
      </c>
      <c r="Z35">
        <v>256.58445945945942</v>
      </c>
      <c r="AA35">
        <v>264</v>
      </c>
      <c r="AB35">
        <v>926.63561776061783</v>
      </c>
      <c r="AC35">
        <v>1397.64333976834</v>
      </c>
      <c r="AD35">
        <v>335.7</v>
      </c>
      <c r="AE35">
        <v>336.3</v>
      </c>
      <c r="AF35">
        <v>2303.5262835521189</v>
      </c>
      <c r="AG35">
        <v>2758.6852316602317</v>
      </c>
      <c r="AH35">
        <v>4303.2316602316596</v>
      </c>
      <c r="AI35">
        <v>5186.340154440154</v>
      </c>
      <c r="AJ35">
        <v>2768.1489562904067</v>
      </c>
      <c r="AK35">
        <v>3359.8510437095952</v>
      </c>
      <c r="AL35">
        <v>3855.8342181467183</v>
      </c>
      <c r="AM35">
        <v>4977.1681949806953</v>
      </c>
      <c r="AO35" s="9">
        <f t="shared" ref="AO35" si="165">2*AA35/SUM(Z35:AA35)</f>
        <v>1.0142446444679514</v>
      </c>
      <c r="AP35" s="9">
        <f t="shared" ref="AP35" si="166">2*AC35/SUM(AB35:AC35)</f>
        <v>1.2026468124585488</v>
      </c>
      <c r="AQ35" s="9">
        <f t="shared" ref="AQ35" si="167">2*AE35/SUM(AD35:AE35)</f>
        <v>1.0008928571428573</v>
      </c>
      <c r="AR35" s="9">
        <f t="shared" ref="AR35" si="168">2*AG35/SUM(AF35:AG35)</f>
        <v>1.089913064031466</v>
      </c>
      <c r="AS35" s="9">
        <f t="shared" ref="AS35" si="169">2*AI35/SUM(AH35:AI35)</f>
        <v>1.0930609422063831</v>
      </c>
      <c r="AT35" s="9">
        <f t="shared" ref="AT35" si="170">2*AK35/SUM(AJ35:AK35)</f>
        <v>1.0965571291480398</v>
      </c>
      <c r="AU35" s="9">
        <f t="shared" ref="AU35" si="171">2*AM35/SUM(AL35:AM35)</f>
        <v>1.1269482248943434</v>
      </c>
    </row>
    <row r="36" spans="1:47" ht="15.75" hidden="1">
      <c r="A36" s="5">
        <f t="shared" si="136"/>
        <v>32</v>
      </c>
      <c r="B36" s="9">
        <v>2020</v>
      </c>
      <c r="C36" s="9" t="s">
        <v>4</v>
      </c>
      <c r="D36" s="9" t="s">
        <v>39</v>
      </c>
      <c r="E36" s="7" t="s">
        <v>6</v>
      </c>
      <c r="F36" s="5" t="s">
        <v>48</v>
      </c>
      <c r="G36" s="7" t="s">
        <v>8</v>
      </c>
      <c r="H36" s="7" t="s">
        <v>9</v>
      </c>
      <c r="I36" s="9" t="s">
        <v>47</v>
      </c>
      <c r="J36" s="9">
        <v>0.8</v>
      </c>
      <c r="K36" s="5">
        <v>2493</v>
      </c>
      <c r="L36" s="5">
        <v>14299</v>
      </c>
      <c r="M36" s="5">
        <f t="shared" si="10"/>
        <v>6123.9999999999991</v>
      </c>
      <c r="N36" s="5">
        <f t="shared" si="11"/>
        <v>8026.0247734138966</v>
      </c>
      <c r="O36">
        <f t="shared" si="12"/>
        <v>6602.1914652567975</v>
      </c>
      <c r="P36">
        <f t="shared" si="13"/>
        <v>1387.2439577039277</v>
      </c>
      <c r="Q36">
        <f t="shared" si="14"/>
        <v>447.64229607250752</v>
      </c>
      <c r="R36">
        <f t="shared" si="15"/>
        <v>502.17545317220538</v>
      </c>
      <c r="S36">
        <f t="shared" si="16"/>
        <v>5546.6958543806668</v>
      </c>
      <c r="T36" s="5">
        <v>333161</v>
      </c>
      <c r="U36" s="5">
        <v>89448</v>
      </c>
      <c r="V36" s="5">
        <v>35475</v>
      </c>
      <c r="W36" s="9">
        <f t="shared" si="30"/>
        <v>458084</v>
      </c>
      <c r="Y36" s="2">
        <f t="shared" si="9"/>
        <v>42934.9738</v>
      </c>
      <c r="Z36">
        <v>245.27095921450149</v>
      </c>
      <c r="AA36">
        <v>256.90449395770389</v>
      </c>
      <c r="AB36">
        <v>509.34554380664656</v>
      </c>
      <c r="AC36">
        <v>877.89841389728099</v>
      </c>
      <c r="AD36">
        <v>203.4561933534743</v>
      </c>
      <c r="AE36">
        <v>244.18610271903322</v>
      </c>
      <c r="AF36">
        <v>2755.7999999999988</v>
      </c>
      <c r="AG36">
        <v>3368.2000000000003</v>
      </c>
      <c r="AH36">
        <v>3705.895770392749</v>
      </c>
      <c r="AI36">
        <v>4320.1290030211476</v>
      </c>
      <c r="AJ36">
        <v>2768.1489562904089</v>
      </c>
      <c r="AK36">
        <v>2778.5468980902579</v>
      </c>
      <c r="AL36">
        <v>2862.3865181268884</v>
      </c>
      <c r="AM36">
        <v>3739.8049471299091</v>
      </c>
      <c r="AO36" s="9">
        <f t="shared" ref="AO36" si="172">2*AA36/SUM(Z36:AA36)</f>
        <v>1.0231662751926927</v>
      </c>
      <c r="AP36" s="9">
        <f t="shared" ref="AP36" si="173">2*AC36/SUM(AB36:AC36)</f>
        <v>1.2656727160669261</v>
      </c>
      <c r="AQ36" s="9">
        <f t="shared" ref="AQ36" si="174">2*AE36/SUM(AD36:AE36)</f>
        <v>1.0909876249919013</v>
      </c>
      <c r="AR36" s="9">
        <f t="shared" ref="AR36" si="175">2*AG36/SUM(AF36:AG36)</f>
        <v>1.1000000000000003</v>
      </c>
      <c r="AS36" s="9">
        <f t="shared" ref="AS36" si="176">2*AI36/SUM(AH36:AI36)</f>
        <v>1.076530193958912</v>
      </c>
      <c r="AT36" s="9">
        <f t="shared" ref="AT36" si="177">2*AK36/SUM(AJ36:AK36)</f>
        <v>1.0018746190656256</v>
      </c>
      <c r="AU36" s="9">
        <f t="shared" ref="AU36" si="178">2*AM36/SUM(AL36:AM36)</f>
        <v>1.1328980587158559</v>
      </c>
    </row>
    <row r="37" spans="1:47" ht="15.75" hidden="1">
      <c r="A37" s="5">
        <f t="shared" si="136"/>
        <v>33</v>
      </c>
      <c r="B37" s="9">
        <v>2020</v>
      </c>
      <c r="C37" s="9" t="s">
        <v>4</v>
      </c>
      <c r="D37" s="9" t="s">
        <v>39</v>
      </c>
      <c r="E37" s="7" t="s">
        <v>6</v>
      </c>
      <c r="F37" s="5" t="s">
        <v>59</v>
      </c>
      <c r="G37" s="7" t="s">
        <v>8</v>
      </c>
      <c r="H37" s="7" t="s">
        <v>9</v>
      </c>
      <c r="I37" s="9" t="s">
        <v>47</v>
      </c>
      <c r="J37" s="9">
        <v>0.8</v>
      </c>
      <c r="K37" s="5">
        <v>2343</v>
      </c>
      <c r="L37" s="5">
        <v>14299</v>
      </c>
      <c r="M37" s="5">
        <f t="shared" si="10"/>
        <v>3902.7016616314195</v>
      </c>
      <c r="N37" s="5">
        <f t="shared" si="11"/>
        <v>11503.999999999985</v>
      </c>
      <c r="O37">
        <f t="shared" si="12"/>
        <v>5776.8288330385367</v>
      </c>
      <c r="P37">
        <f t="shared" si="13"/>
        <v>1018.6910876132931</v>
      </c>
      <c r="Q37">
        <f t="shared" si="14"/>
        <v>406.91238670694861</v>
      </c>
      <c r="R37">
        <f t="shared" si="15"/>
        <v>490.54191842900298</v>
      </c>
      <c r="S37">
        <f t="shared" si="16"/>
        <v>5536.2979125808133</v>
      </c>
      <c r="T37" s="5">
        <v>318911</v>
      </c>
      <c r="U37" s="5">
        <v>89448</v>
      </c>
      <c r="V37" s="5">
        <v>35475</v>
      </c>
      <c r="W37" s="9">
        <f t="shared" si="30"/>
        <v>443834</v>
      </c>
      <c r="Y37" s="2">
        <f t="shared" si="9"/>
        <v>42934.9738</v>
      </c>
      <c r="Z37">
        <v>239.45419184290029</v>
      </c>
      <c r="AA37">
        <v>251.08772658610269</v>
      </c>
      <c r="AB37">
        <v>325.06910876132929</v>
      </c>
      <c r="AC37">
        <v>693.62197885196383</v>
      </c>
      <c r="AD37">
        <v>183.09123867069485</v>
      </c>
      <c r="AE37">
        <v>223.82114803625376</v>
      </c>
      <c r="AF37">
        <v>1783.8701661631419</v>
      </c>
      <c r="AG37">
        <v>2118.8314954682778</v>
      </c>
      <c r="AH37">
        <v>5176.7999999999847</v>
      </c>
      <c r="AI37">
        <v>6327.2000000000007</v>
      </c>
      <c r="AJ37">
        <v>2768.148956290408</v>
      </c>
      <c r="AK37">
        <v>2768.1489562904053</v>
      </c>
      <c r="AL37">
        <v>2423.6773036253776</v>
      </c>
      <c r="AM37">
        <v>3353.1515294131591</v>
      </c>
      <c r="AO37" s="9">
        <f t="shared" ref="AO37:AO38" si="179">2*AA37/SUM(Z37:AA37)</f>
        <v>1.0237156791420796</v>
      </c>
      <c r="AP37" s="9">
        <f t="shared" ref="AP37:AP38" si="180">2*AC37/SUM(AB37:AC37)</f>
        <v>1.3617906100995962</v>
      </c>
      <c r="AQ37" s="9">
        <f t="shared" ref="AQ37:AQ38" si="181">2*AE37/SUM(AD37:AE37)</f>
        <v>1.100095034449988</v>
      </c>
      <c r="AR37" s="9">
        <f t="shared" ref="AR37:AR38" si="182">2*AG37/SUM(AF37:AG37)</f>
        <v>1.0858280643376452</v>
      </c>
      <c r="AS37" s="9">
        <f t="shared" ref="AS37:AS38" si="183">2*AI37/SUM(AH37:AI37)</f>
        <v>1.1000000000000014</v>
      </c>
      <c r="AT37" s="9">
        <f t="shared" ref="AT37:AT38" si="184">2*AK37/SUM(AJ37:AK37)</f>
        <v>0.99999999999999956</v>
      </c>
      <c r="AU37" s="9">
        <f t="shared" ref="AU37:AU38" si="185">2*AM37/SUM(AL37:AM37)</f>
        <v>1.160896964866257</v>
      </c>
    </row>
    <row r="38" spans="1:47" ht="15.75" hidden="1">
      <c r="A38" s="5">
        <f t="shared" si="136"/>
        <v>34</v>
      </c>
      <c r="B38" s="9">
        <v>2020</v>
      </c>
      <c r="C38" s="9" t="s">
        <v>4</v>
      </c>
      <c r="D38" s="9" t="s">
        <v>39</v>
      </c>
      <c r="E38" s="7" t="s">
        <v>6</v>
      </c>
      <c r="F38" s="5" t="s">
        <v>60</v>
      </c>
      <c r="G38" s="7" t="s">
        <v>8</v>
      </c>
      <c r="H38" s="7" t="s">
        <v>9</v>
      </c>
      <c r="I38" s="9" t="s">
        <v>47</v>
      </c>
      <c r="J38" s="9">
        <v>0.8</v>
      </c>
      <c r="K38" s="5">
        <v>2873</v>
      </c>
      <c r="L38" s="5">
        <v>14299</v>
      </c>
      <c r="M38" s="5">
        <f t="shared" si="10"/>
        <v>3609.6104984894259</v>
      </c>
      <c r="N38" s="5">
        <f t="shared" si="11"/>
        <v>6874.3374622356496</v>
      </c>
      <c r="O38">
        <f t="shared" si="12"/>
        <v>11067.884308869336</v>
      </c>
      <c r="P38">
        <f t="shared" si="13"/>
        <v>696.20732628398787</v>
      </c>
      <c r="Q38">
        <f t="shared" si="14"/>
        <v>371.27371601208461</v>
      </c>
      <c r="R38">
        <f t="shared" si="15"/>
        <v>480.36257552870086</v>
      </c>
      <c r="S38">
        <f t="shared" si="16"/>
        <v>5536.2979125808142</v>
      </c>
      <c r="T38" s="5">
        <v>321101</v>
      </c>
      <c r="U38" s="5">
        <v>89447</v>
      </c>
      <c r="V38" s="5">
        <v>35475</v>
      </c>
      <c r="W38" s="9">
        <f t="shared" ref="W38:W39" si="186">SUM(T38:V38)</f>
        <v>446023</v>
      </c>
      <c r="Y38" s="2">
        <f t="shared" ref="Y38:Y41" si="187">L38+M38+N38+O38+P38+Q38+R38+S38</f>
        <v>42934.973799999992</v>
      </c>
      <c r="Z38">
        <v>238</v>
      </c>
      <c r="AA38">
        <v>242.36257552870089</v>
      </c>
      <c r="AB38">
        <v>279</v>
      </c>
      <c r="AC38">
        <v>417.20732628398792</v>
      </c>
      <c r="AD38">
        <v>178</v>
      </c>
      <c r="AE38">
        <v>193.27371601208458</v>
      </c>
      <c r="AF38">
        <v>1742</v>
      </c>
      <c r="AG38">
        <v>1867.6104984894259</v>
      </c>
      <c r="AH38">
        <v>3322</v>
      </c>
      <c r="AI38">
        <v>3552.3374622356496</v>
      </c>
      <c r="AJ38">
        <v>2768.1489562904067</v>
      </c>
      <c r="AK38">
        <v>2768.1489562904076</v>
      </c>
      <c r="AL38">
        <v>4902.8843088693366</v>
      </c>
      <c r="AM38">
        <v>6165</v>
      </c>
      <c r="AO38" s="9">
        <f t="shared" si="179"/>
        <v>1.0090818389086604</v>
      </c>
      <c r="AP38" s="9">
        <f t="shared" si="180"/>
        <v>1.1985146106141553</v>
      </c>
      <c r="AQ38" s="9">
        <f t="shared" si="181"/>
        <v>1.0411386945893779</v>
      </c>
      <c r="AR38" s="9">
        <f t="shared" si="182"/>
        <v>1.0347989065695571</v>
      </c>
      <c r="AS38" s="9">
        <f t="shared" si="183"/>
        <v>1.0335068598975559</v>
      </c>
      <c r="AT38" s="9">
        <f t="shared" si="184"/>
        <v>1.0000000000000002</v>
      </c>
      <c r="AU38" s="9">
        <f t="shared" si="185"/>
        <v>1.1140340516677842</v>
      </c>
    </row>
    <row r="39" spans="1:47" ht="15.75" hidden="1">
      <c r="A39" s="5">
        <f t="shared" si="136"/>
        <v>35</v>
      </c>
      <c r="B39" s="9">
        <v>2020</v>
      </c>
      <c r="C39" s="9" t="s">
        <v>4</v>
      </c>
      <c r="D39" s="9" t="s">
        <v>39</v>
      </c>
      <c r="E39" s="7" t="s">
        <v>6</v>
      </c>
      <c r="F39" s="5" t="s">
        <v>68</v>
      </c>
      <c r="G39" s="7" t="s">
        <v>8</v>
      </c>
      <c r="H39" s="7" t="s">
        <v>9</v>
      </c>
      <c r="I39" s="9" t="s">
        <v>47</v>
      </c>
      <c r="J39" s="9">
        <v>0.8</v>
      </c>
      <c r="K39" s="5">
        <v>2688</v>
      </c>
      <c r="L39" s="5">
        <v>14299</v>
      </c>
      <c r="M39" s="5">
        <f t="shared" si="10"/>
        <v>4237.6629909365556</v>
      </c>
      <c r="N39" s="5">
        <f t="shared" si="11"/>
        <v>8026.0247734138966</v>
      </c>
      <c r="O39">
        <f t="shared" si="12"/>
        <v>6602.1914652567975</v>
      </c>
      <c r="P39">
        <f t="shared" si="13"/>
        <v>3219.9999999999973</v>
      </c>
      <c r="Q39">
        <f t="shared" si="14"/>
        <v>447.64229607250752</v>
      </c>
      <c r="R39">
        <f t="shared" si="15"/>
        <v>502.17545317220538</v>
      </c>
      <c r="S39">
        <f t="shared" si="16"/>
        <v>5590.3068066980468</v>
      </c>
      <c r="T39" s="5">
        <v>340895</v>
      </c>
      <c r="U39" s="5">
        <v>89448</v>
      </c>
      <c r="V39" s="5">
        <v>35475</v>
      </c>
      <c r="W39" s="9">
        <f t="shared" si="186"/>
        <v>465818</v>
      </c>
      <c r="Y39" s="2">
        <f t="shared" si="187"/>
        <v>42925.003785550012</v>
      </c>
      <c r="Z39">
        <v>245.27095921450149</v>
      </c>
      <c r="AA39">
        <v>256.90449395770389</v>
      </c>
      <c r="AB39">
        <v>1509.049999999997</v>
      </c>
      <c r="AC39">
        <v>1710.95</v>
      </c>
      <c r="AD39">
        <v>203.4561933534743</v>
      </c>
      <c r="AE39">
        <v>244.18610271903322</v>
      </c>
      <c r="AF39">
        <v>1951.35083081571</v>
      </c>
      <c r="AG39">
        <v>2286.3121601208459</v>
      </c>
      <c r="AH39">
        <v>3705.895770392749</v>
      </c>
      <c r="AI39">
        <v>4320.1290030211476</v>
      </c>
      <c r="AJ39">
        <v>2768.1489562904085</v>
      </c>
      <c r="AK39">
        <v>2822.1578504076379</v>
      </c>
      <c r="AL39">
        <v>2862.3865181268884</v>
      </c>
      <c r="AM39">
        <v>3739.8049471299091</v>
      </c>
      <c r="AO39" s="9">
        <f t="shared" ref="AO39:AO40" si="188">2*AA39/SUM(Z39:AA39)</f>
        <v>1.0231662751926927</v>
      </c>
      <c r="AP39" s="9">
        <f t="shared" ref="AP39:AP40" si="189">2*AC39/SUM(AB39:AC39)</f>
        <v>1.0627018633540382</v>
      </c>
      <c r="AQ39" s="9">
        <f t="shared" ref="AQ39:AQ40" si="190">2*AE39/SUM(AD39:AE39)</f>
        <v>1.0909876249919013</v>
      </c>
      <c r="AR39" s="9">
        <f t="shared" ref="AR39:AR40" si="191">2*AG39/SUM(AF39:AG39)</f>
        <v>1.0790438810310179</v>
      </c>
      <c r="AS39" s="9">
        <f t="shared" ref="AS39:AS40" si="192">2*AI39/SUM(AH39:AI39)</f>
        <v>1.076530193958912</v>
      </c>
      <c r="AT39" s="9">
        <f t="shared" ref="AT39:AT40" si="193">2*AK39/SUM(AJ39:AK39)</f>
        <v>1.0096611681585199</v>
      </c>
      <c r="AU39" s="9">
        <f t="shared" ref="AU39:AU40" si="194">2*AM39/SUM(AL39:AM39)</f>
        <v>1.1328980587158559</v>
      </c>
    </row>
    <row r="40" spans="1:47" ht="15.75" hidden="1">
      <c r="A40" s="5">
        <f t="shared" si="136"/>
        <v>36</v>
      </c>
      <c r="B40" s="9">
        <v>2020</v>
      </c>
      <c r="C40" s="9" t="s">
        <v>4</v>
      </c>
      <c r="D40" s="9" t="s">
        <v>39</v>
      </c>
      <c r="E40" s="7" t="s">
        <v>6</v>
      </c>
      <c r="F40" s="5" t="s">
        <v>69</v>
      </c>
      <c r="G40" s="7" t="s">
        <v>8</v>
      </c>
      <c r="H40" s="7" t="s">
        <v>9</v>
      </c>
      <c r="I40" s="9" t="s">
        <v>47</v>
      </c>
      <c r="J40" s="9">
        <v>0.8</v>
      </c>
      <c r="K40" s="5">
        <v>2266</v>
      </c>
      <c r="L40" s="5">
        <v>14299</v>
      </c>
      <c r="M40" s="5">
        <f t="shared" si="10"/>
        <v>4405.1436555891241</v>
      </c>
      <c r="N40" s="5">
        <f t="shared" si="11"/>
        <v>8333.1413897280963</v>
      </c>
      <c r="O40">
        <f t="shared" si="12"/>
        <v>7095.6050024169199</v>
      </c>
      <c r="P40">
        <f t="shared" si="13"/>
        <v>1617.5895015105741</v>
      </c>
      <c r="Q40">
        <f t="shared" si="14"/>
        <v>468.00725075528698</v>
      </c>
      <c r="R40">
        <f t="shared" si="15"/>
        <v>528</v>
      </c>
      <c r="S40">
        <f t="shared" si="16"/>
        <v>6128</v>
      </c>
      <c r="T40" s="5">
        <v>339329</v>
      </c>
      <c r="U40" s="5">
        <v>89448</v>
      </c>
      <c r="V40" s="5">
        <v>35475</v>
      </c>
      <c r="W40" s="9">
        <f t="shared" ref="W40" si="195">SUM(T40:V40)</f>
        <v>464252</v>
      </c>
      <c r="Y40" s="2">
        <f t="shared" si="187"/>
        <v>42874.486799999999</v>
      </c>
      <c r="Z40">
        <v>264</v>
      </c>
      <c r="AA40">
        <v>264</v>
      </c>
      <c r="AB40">
        <v>601.48376132930514</v>
      </c>
      <c r="AC40">
        <v>1016.105740181269</v>
      </c>
      <c r="AD40">
        <v>213.63867069486403</v>
      </c>
      <c r="AE40">
        <v>254.36858006042294</v>
      </c>
      <c r="AF40">
        <v>2035.091163141994</v>
      </c>
      <c r="AG40">
        <v>2370.0524924471301</v>
      </c>
      <c r="AH40">
        <v>3859.4540785498489</v>
      </c>
      <c r="AI40">
        <v>4473.687311178247</v>
      </c>
      <c r="AJ40">
        <v>2768.1489562904071</v>
      </c>
      <c r="AK40">
        <v>3359.8510437095929</v>
      </c>
      <c r="AL40">
        <v>3081.7411253776436</v>
      </c>
      <c r="AM40">
        <v>4013.8638770392768</v>
      </c>
      <c r="AO40" s="9">
        <f t="shared" si="188"/>
        <v>1</v>
      </c>
      <c r="AP40" s="9">
        <f t="shared" si="189"/>
        <v>1.2563208888687594</v>
      </c>
      <c r="AQ40" s="9">
        <f t="shared" si="190"/>
        <v>1.0870283725301852</v>
      </c>
      <c r="AR40" s="9">
        <f t="shared" si="191"/>
        <v>1.0760386846590455</v>
      </c>
      <c r="AS40" s="9">
        <f t="shared" si="192"/>
        <v>1.0737096856877451</v>
      </c>
      <c r="AT40" s="9">
        <f t="shared" si="193"/>
        <v>1.0965571291480394</v>
      </c>
      <c r="AU40" s="9">
        <f t="shared" si="194"/>
        <v>1.1313662120910242</v>
      </c>
    </row>
    <row r="41" spans="1:47" ht="15.75" hidden="1">
      <c r="A41" s="5">
        <f t="shared" si="136"/>
        <v>37</v>
      </c>
      <c r="B41" s="9">
        <v>2020</v>
      </c>
      <c r="C41" s="9" t="s">
        <v>4</v>
      </c>
      <c r="D41" s="9" t="s">
        <v>39</v>
      </c>
      <c r="E41" s="7" t="s">
        <v>6</v>
      </c>
      <c r="F41" s="5" t="s">
        <v>70</v>
      </c>
      <c r="G41" s="7" t="s">
        <v>8</v>
      </c>
      <c r="H41" s="7" t="s">
        <v>9</v>
      </c>
      <c r="I41" s="9" t="s">
        <v>47</v>
      </c>
      <c r="J41" s="9">
        <v>0.8</v>
      </c>
      <c r="K41" s="5">
        <v>2290</v>
      </c>
      <c r="L41" s="5">
        <v>14299</v>
      </c>
      <c r="M41" s="5">
        <f t="shared" si="10"/>
        <v>4400.1654631419915</v>
      </c>
      <c r="N41" s="5">
        <f t="shared" si="11"/>
        <v>8256.3622356495453</v>
      </c>
      <c r="O41">
        <f t="shared" si="12"/>
        <v>7040.9006797583079</v>
      </c>
      <c r="P41">
        <f t="shared" si="13"/>
        <v>1571.5203927492448</v>
      </c>
      <c r="Q41">
        <f t="shared" si="14"/>
        <v>672.00000000000068</v>
      </c>
      <c r="R41">
        <f t="shared" si="15"/>
        <v>506.53802870090635</v>
      </c>
      <c r="S41">
        <f t="shared" si="16"/>
        <v>6128.0000000000018</v>
      </c>
      <c r="T41" s="5">
        <v>339005</v>
      </c>
      <c r="U41" s="5">
        <v>89447</v>
      </c>
      <c r="V41" s="5">
        <v>35475</v>
      </c>
      <c r="W41" s="9">
        <f t="shared" ref="W41" si="196">SUM(T41:V41)</f>
        <v>463927</v>
      </c>
      <c r="Y41" s="2">
        <f t="shared" si="187"/>
        <v>42874.486799999991</v>
      </c>
      <c r="Z41">
        <v>246.7251510574018</v>
      </c>
      <c r="AA41">
        <v>259.81287764350452</v>
      </c>
      <c r="AB41">
        <v>601.48376132930514</v>
      </c>
      <c r="AC41">
        <v>970.03663141993968</v>
      </c>
      <c r="AD41">
        <v>335.70000000000067</v>
      </c>
      <c r="AE41">
        <v>336.3</v>
      </c>
      <c r="AF41">
        <v>2030.1129706948616</v>
      </c>
      <c r="AG41">
        <v>2370.0524924471301</v>
      </c>
      <c r="AH41">
        <v>3782.6749244712987</v>
      </c>
      <c r="AI41">
        <v>4473.687311178247</v>
      </c>
      <c r="AJ41">
        <v>2768.1489562904085</v>
      </c>
      <c r="AK41">
        <v>3359.8510437095933</v>
      </c>
      <c r="AL41">
        <v>3081.7411253776436</v>
      </c>
      <c r="AM41">
        <v>3959.1595543806648</v>
      </c>
      <c r="AO41" s="9">
        <f t="shared" ref="AO41" si="197">2*AA41/SUM(Z41:AA41)</f>
        <v>1.0258375992413997</v>
      </c>
      <c r="AP41" s="9">
        <f t="shared" ref="AP41" si="198">2*AC41/SUM(AB41:AC41)</f>
        <v>1.2345199411926699</v>
      </c>
      <c r="AQ41" s="9">
        <f t="shared" ref="AQ41" si="199">2*AE41/SUM(AD41:AE41)</f>
        <v>1.0008928571428561</v>
      </c>
      <c r="AR41" s="9">
        <f t="shared" ref="AR41" si="200">2*AG41/SUM(AF41:AG41)</f>
        <v>1.0772560769815984</v>
      </c>
      <c r="AS41" s="9">
        <f t="shared" ref="AS41" si="201">2*AI41/SUM(AH41:AI41)</f>
        <v>1.0836945336195736</v>
      </c>
      <c r="AT41" s="9">
        <f t="shared" ref="AT41" si="202">2*AK41/SUM(AJ41:AK41)</f>
        <v>1.0965571291480394</v>
      </c>
      <c r="AU41" s="9">
        <f t="shared" ref="AU41" si="203">2*AM41/SUM(AL41:AM41)</f>
        <v>1.1246173563455437</v>
      </c>
    </row>
    <row r="43" spans="1:47">
      <c r="K43">
        <f>K15/K4</f>
        <v>0.71664698937426208</v>
      </c>
    </row>
    <row r="44" spans="1:47">
      <c r="K44">
        <f>K14/K4</f>
        <v>0.55332546241637148</v>
      </c>
    </row>
    <row r="49" spans="1:47" ht="15.75">
      <c r="A49" s="5"/>
      <c r="B49" s="9"/>
      <c r="C49" s="9"/>
      <c r="D49" s="9"/>
      <c r="E49" s="7"/>
      <c r="F49" s="7"/>
      <c r="G49" s="7"/>
      <c r="H49" s="7"/>
      <c r="I49" s="9"/>
      <c r="J49" s="9"/>
      <c r="K49" s="5"/>
      <c r="L49" s="5"/>
      <c r="M49" s="5"/>
      <c r="N49" s="5"/>
      <c r="T49" s="5"/>
      <c r="U49" s="5"/>
      <c r="V49" s="5"/>
      <c r="W49" s="9"/>
      <c r="Y49" s="2"/>
      <c r="AO49" s="9"/>
      <c r="AP49" s="9"/>
      <c r="AQ49" s="9"/>
      <c r="AR49" s="9"/>
      <c r="AS49" s="9"/>
      <c r="AT49" s="9"/>
      <c r="AU49" s="9"/>
    </row>
    <row r="50" spans="1:47" ht="15.75">
      <c r="A50" s="5"/>
      <c r="B50" s="9"/>
      <c r="C50" s="9"/>
      <c r="D50" s="9"/>
      <c r="E50" s="7"/>
      <c r="F50" s="5"/>
      <c r="G50" s="7"/>
      <c r="H50" s="7"/>
      <c r="I50" s="9"/>
      <c r="J50" s="9"/>
      <c r="K50" s="5"/>
      <c r="L50" s="5"/>
      <c r="M50" s="5"/>
      <c r="N50" s="5"/>
      <c r="T50" s="5"/>
      <c r="U50" s="5"/>
      <c r="V50" s="5"/>
      <c r="W50" s="9"/>
      <c r="Y50" s="2"/>
      <c r="AO50" s="9"/>
      <c r="AP50" s="9"/>
      <c r="AQ50" s="9"/>
      <c r="AR50" s="9"/>
      <c r="AS50" s="9"/>
      <c r="AT50" s="9"/>
      <c r="AU50" s="9"/>
    </row>
    <row r="51" spans="1:47" ht="15.75">
      <c r="A51" s="5"/>
      <c r="B51" s="9"/>
      <c r="C51" s="9"/>
      <c r="D51" s="9"/>
      <c r="E51" s="7"/>
      <c r="F51" s="5"/>
      <c r="G51" s="7"/>
      <c r="H51" s="7"/>
      <c r="I51" s="9"/>
      <c r="J51" s="9"/>
      <c r="K51" s="5"/>
      <c r="L51" s="5"/>
      <c r="M51" s="5"/>
      <c r="N51" s="5"/>
      <c r="T51" s="5"/>
      <c r="U51" s="5"/>
      <c r="V51" s="5"/>
      <c r="W51" s="9"/>
      <c r="Y51" s="2"/>
      <c r="AO51" s="9"/>
      <c r="AP51" s="9"/>
      <c r="AQ51" s="9"/>
      <c r="AR51" s="9"/>
      <c r="AS51" s="9"/>
      <c r="AT51" s="9"/>
      <c r="AU51" s="9"/>
    </row>
    <row r="52" spans="1:47" ht="15.75">
      <c r="A52" s="5"/>
      <c r="B52" s="9"/>
      <c r="C52" s="9"/>
      <c r="D52" s="9"/>
      <c r="E52" s="7"/>
      <c r="F52" s="5"/>
      <c r="G52" s="7"/>
      <c r="H52" s="7"/>
      <c r="I52" s="9"/>
      <c r="J52" s="9"/>
      <c r="K52" s="5"/>
      <c r="L52" s="5"/>
      <c r="M52" s="5"/>
      <c r="N52" s="5"/>
      <c r="T52" s="5"/>
      <c r="U52" s="5"/>
      <c r="V52" s="5"/>
      <c r="W52" s="9"/>
      <c r="Y52" s="2"/>
      <c r="AO52" s="9"/>
      <c r="AP52" s="9"/>
      <c r="AQ52" s="9"/>
      <c r="AR52" s="9"/>
      <c r="AS52" s="9"/>
      <c r="AT52" s="9"/>
      <c r="AU52" s="9"/>
    </row>
    <row r="53" spans="1:47" ht="15.75">
      <c r="A53" s="5"/>
      <c r="B53" s="9"/>
      <c r="C53" s="9"/>
      <c r="D53" s="9"/>
      <c r="E53" s="7"/>
      <c r="F53" s="5"/>
      <c r="G53" s="7"/>
      <c r="H53" s="7"/>
      <c r="I53" s="9"/>
      <c r="J53" s="9"/>
      <c r="K53" s="5"/>
      <c r="L53" s="5"/>
      <c r="M53" s="5"/>
      <c r="N53" s="5"/>
      <c r="T53" s="5"/>
      <c r="U53" s="5"/>
      <c r="V53" s="5"/>
      <c r="W53" s="9"/>
      <c r="Y53" s="2"/>
      <c r="AO53" s="9"/>
      <c r="AP53" s="9"/>
      <c r="AQ53" s="9"/>
      <c r="AR53" s="9"/>
      <c r="AS53" s="9"/>
      <c r="AT53" s="9"/>
      <c r="AU53" s="9"/>
    </row>
    <row r="54" spans="1:47" ht="15.75">
      <c r="A54" s="5"/>
      <c r="B54" s="9"/>
      <c r="C54" s="9"/>
      <c r="D54" s="9"/>
      <c r="E54" s="7"/>
      <c r="F54" s="5"/>
      <c r="G54" s="7"/>
      <c r="H54" s="7"/>
      <c r="I54" s="9"/>
      <c r="J54" s="9"/>
      <c r="K54" s="5"/>
      <c r="L54" s="5"/>
      <c r="M54" s="5"/>
      <c r="N54" s="5"/>
      <c r="T54" s="5"/>
      <c r="U54" s="5"/>
      <c r="V54" s="5"/>
      <c r="W54" s="9"/>
      <c r="Y54" s="2"/>
      <c r="AO54" s="9"/>
      <c r="AP54" s="9"/>
      <c r="AQ54" s="9"/>
      <c r="AR54" s="9"/>
      <c r="AS54" s="9"/>
      <c r="AT54" s="9"/>
      <c r="AU54" s="9"/>
    </row>
    <row r="55" spans="1:47" ht="15.75">
      <c r="A55" s="5"/>
      <c r="B55" s="9"/>
      <c r="C55" s="9"/>
      <c r="D55" s="9"/>
      <c r="E55" s="7"/>
      <c r="F55" s="5"/>
      <c r="G55" s="7"/>
      <c r="H55" s="7"/>
      <c r="I55" s="9"/>
      <c r="J55" s="9"/>
      <c r="K55" s="5"/>
      <c r="L55" s="5"/>
      <c r="M55" s="5"/>
      <c r="N55" s="5"/>
      <c r="T55" s="5"/>
      <c r="U55" s="5"/>
      <c r="V55" s="5"/>
      <c r="W55" s="9"/>
      <c r="Y55" s="2"/>
      <c r="AO55" s="9"/>
      <c r="AP55" s="9"/>
      <c r="AQ55" s="9"/>
      <c r="AR55" s="9"/>
      <c r="AS55" s="9"/>
      <c r="AT55" s="9"/>
      <c r="AU55" s="9"/>
    </row>
    <row r="56" spans="1:47" ht="15.75">
      <c r="A56" s="5"/>
      <c r="B56" s="9"/>
      <c r="C56" s="9"/>
      <c r="D56" s="9"/>
      <c r="E56" s="7"/>
      <c r="F56" s="7"/>
      <c r="G56" s="7"/>
      <c r="H56" s="7"/>
      <c r="I56" s="9"/>
      <c r="J56" s="9"/>
      <c r="K56" s="5"/>
      <c r="L56" s="5"/>
      <c r="M56" s="5"/>
      <c r="N56" s="5"/>
      <c r="T56" s="5"/>
      <c r="U56" s="5"/>
      <c r="V56" s="5"/>
      <c r="W56" s="9"/>
      <c r="Y56" s="2"/>
      <c r="AO56" s="9"/>
      <c r="AP56" s="9"/>
      <c r="AQ56" s="9"/>
      <c r="AR56" s="9"/>
      <c r="AS56" s="9"/>
      <c r="AT56" s="9"/>
      <c r="AU56" s="9"/>
    </row>
    <row r="57" spans="1:47" ht="15.75">
      <c r="A57" s="5"/>
      <c r="B57" s="9"/>
      <c r="C57" s="9"/>
      <c r="D57" s="9"/>
      <c r="E57" s="7"/>
      <c r="F57" s="5"/>
      <c r="G57" s="7"/>
      <c r="H57" s="7"/>
      <c r="I57" s="9"/>
      <c r="J57" s="9"/>
      <c r="K57" s="5"/>
      <c r="L57" s="5"/>
      <c r="M57" s="5"/>
      <c r="N57" s="5"/>
      <c r="T57" s="5"/>
      <c r="U57" s="5"/>
      <c r="V57" s="5"/>
      <c r="W57" s="9"/>
      <c r="Y57" s="2"/>
      <c r="AO57" s="9"/>
      <c r="AP57" s="9"/>
      <c r="AQ57" s="9"/>
      <c r="AR57" s="9"/>
      <c r="AS57" s="9"/>
      <c r="AT57" s="9"/>
      <c r="AU57" s="9"/>
    </row>
    <row r="58" spans="1:47" ht="15.75">
      <c r="A58" s="5"/>
      <c r="B58" s="9"/>
      <c r="C58" s="9"/>
      <c r="D58" s="9"/>
      <c r="E58" s="7"/>
      <c r="F58" s="5"/>
      <c r="G58" s="7"/>
      <c r="H58" s="7"/>
      <c r="I58" s="9"/>
      <c r="J58" s="9"/>
      <c r="K58" s="5"/>
      <c r="L58" s="5"/>
      <c r="M58" s="5"/>
      <c r="N58" s="5"/>
      <c r="T58" s="5"/>
      <c r="U58" s="5"/>
      <c r="V58" s="5"/>
      <c r="W58" s="9"/>
      <c r="Y58" s="2"/>
      <c r="AO58" s="9"/>
      <c r="AP58" s="9"/>
      <c r="AQ58" s="9"/>
      <c r="AR58" s="9"/>
      <c r="AS58" s="9"/>
      <c r="AT58" s="9"/>
      <c r="AU58" s="9"/>
    </row>
    <row r="59" spans="1:47" ht="15.75">
      <c r="A59" s="5"/>
      <c r="B59" s="9"/>
      <c r="C59" s="9"/>
      <c r="D59" s="9"/>
      <c r="E59" s="7"/>
      <c r="F59" s="5"/>
      <c r="G59" s="7"/>
      <c r="H59" s="7"/>
      <c r="I59" s="9"/>
      <c r="J59" s="9"/>
      <c r="K59" s="5"/>
      <c r="L59" s="5"/>
      <c r="M59" s="5"/>
      <c r="N59" s="5"/>
      <c r="T59" s="5"/>
      <c r="U59" s="5"/>
      <c r="V59" s="5"/>
      <c r="W59" s="9"/>
      <c r="Y59" s="2"/>
      <c r="AO59" s="9"/>
      <c r="AP59" s="9"/>
      <c r="AQ59" s="9"/>
      <c r="AR59" s="9"/>
      <c r="AS59" s="9"/>
      <c r="AT59" s="9"/>
      <c r="AU59" s="9"/>
    </row>
    <row r="60" spans="1:47" ht="15.75">
      <c r="A60" s="5"/>
      <c r="B60" s="9"/>
      <c r="C60" s="9"/>
      <c r="D60" s="9"/>
      <c r="E60" s="7"/>
      <c r="F60" s="5"/>
      <c r="G60" s="7"/>
      <c r="H60" s="7"/>
      <c r="I60" s="9"/>
      <c r="J60" s="9"/>
      <c r="K60" s="5"/>
      <c r="L60" s="5"/>
      <c r="M60" s="5"/>
      <c r="N60" s="5"/>
      <c r="T60" s="5"/>
      <c r="U60" s="5"/>
      <c r="V60" s="5"/>
      <c r="W60" s="9"/>
      <c r="Y60" s="2"/>
      <c r="AO60" s="9"/>
      <c r="AP60" s="9"/>
      <c r="AQ60" s="9"/>
      <c r="AR60" s="9"/>
      <c r="AS60" s="9"/>
      <c r="AT60" s="9"/>
      <c r="AU60" s="9"/>
    </row>
    <row r="61" spans="1:47" ht="15.75">
      <c r="A61" s="5"/>
      <c r="B61" s="9"/>
      <c r="C61" s="9"/>
      <c r="D61" s="9"/>
      <c r="E61" s="7"/>
      <c r="F61" s="5"/>
      <c r="G61" s="7"/>
      <c r="H61" s="7"/>
      <c r="I61" s="9"/>
      <c r="J61" s="9"/>
      <c r="K61" s="5"/>
      <c r="L61" s="5"/>
      <c r="M61" s="5"/>
      <c r="N61" s="5"/>
      <c r="T61" s="5"/>
      <c r="U61" s="5"/>
      <c r="V61" s="5"/>
      <c r="W61" s="9"/>
      <c r="Y61" s="2"/>
      <c r="AO61" s="9"/>
      <c r="AP61" s="9"/>
      <c r="AQ61" s="9"/>
      <c r="AR61" s="9"/>
      <c r="AS61" s="9"/>
      <c r="AT61" s="9"/>
      <c r="AU61" s="9"/>
    </row>
    <row r="62" spans="1:47" ht="15.75">
      <c r="A62" s="5"/>
      <c r="B62" s="9"/>
      <c r="C62" s="9"/>
      <c r="D62" s="9"/>
      <c r="E62" s="7"/>
      <c r="F62" s="5"/>
      <c r="G62" s="7"/>
      <c r="H62" s="7"/>
      <c r="I62" s="9"/>
      <c r="J62" s="9"/>
      <c r="K62" s="5"/>
      <c r="L62" s="5"/>
      <c r="M62" s="5"/>
      <c r="N62" s="5"/>
      <c r="T62" s="5"/>
      <c r="U62" s="5"/>
      <c r="V62" s="5"/>
      <c r="W62" s="9"/>
      <c r="Y62" s="2"/>
      <c r="AO62" s="9"/>
      <c r="AP62" s="9"/>
      <c r="AQ62" s="9"/>
      <c r="AR62" s="9"/>
      <c r="AS62" s="9"/>
      <c r="AT62" s="9"/>
      <c r="AU62" s="9"/>
    </row>
    <row r="119" spans="116:116">
      <c r="DL119" s="5"/>
    </row>
    <row r="120" spans="116:116">
      <c r="DL120" s="5"/>
    </row>
  </sheetData>
  <autoFilter ref="A5:DL41">
    <filterColumn colId="3">
      <filters>
        <filter val="Green"/>
      </filters>
    </filterColumn>
    <filterColumn colId="5">
      <filters>
        <filter val="Ref"/>
      </filters>
    </filterColumn>
  </autoFilter>
  <mergeCells count="4">
    <mergeCell ref="C2:D2"/>
    <mergeCell ref="F2:I2"/>
    <mergeCell ref="M2:S2"/>
    <mergeCell ref="T2:V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/>
  </sheetPr>
  <dimension ref="A1:DM84"/>
  <sheetViews>
    <sheetView topLeftCell="A7" zoomScale="70" zoomScaleNormal="70" workbookViewId="0">
      <selection activeCell="AD30" sqref="AD30"/>
    </sheetView>
  </sheetViews>
  <sheetFormatPr defaultRowHeight="15"/>
  <cols>
    <col min="1" max="1" width="3.44140625" bestFit="1" customWidth="1"/>
    <col min="2" max="2" width="5" bestFit="1" customWidth="1"/>
    <col min="3" max="3" width="9.21875" customWidth="1"/>
    <col min="4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9" width="8.77734375" customWidth="1"/>
    <col min="10" max="11" width="6.109375" customWidth="1"/>
    <col min="12" max="12" width="8.44140625" bestFit="1" customWidth="1"/>
    <col min="13" max="13" width="8.6640625" customWidth="1"/>
    <col min="14" max="16" width="7" customWidth="1"/>
    <col min="17" max="19" width="5.5546875" customWidth="1"/>
    <col min="20" max="20" width="7.109375" customWidth="1"/>
    <col min="21" max="23" width="7.77734375" hidden="1" customWidth="1"/>
    <col min="24" max="24" width="8.44140625" customWidth="1"/>
    <col min="25" max="25" width="5.109375" hidden="1" customWidth="1"/>
    <col min="26" max="26" width="10" customWidth="1"/>
    <col min="27" max="41" width="8.88671875" customWidth="1"/>
  </cols>
  <sheetData>
    <row r="1" spans="1:48">
      <c r="L1" s="22"/>
      <c r="M1" s="18"/>
      <c r="N1" s="27">
        <f>N4/SUM($N$4:$T$4)</f>
        <v>0.20080606922712185</v>
      </c>
      <c r="O1" s="27">
        <f t="shared" ref="O1:T1" si="0">O4/SUM($N$4:$T$4)</f>
        <v>0.28425794215267902</v>
      </c>
      <c r="P1" s="27">
        <f t="shared" si="0"/>
        <v>0.24270981507823614</v>
      </c>
      <c r="Q1" s="27">
        <f t="shared" si="0"/>
        <v>6.1996206733048835E-2</v>
      </c>
      <c r="R1" s="27">
        <f t="shared" si="0"/>
        <v>1.5232337600758653E-2</v>
      </c>
      <c r="S1" s="27">
        <f t="shared" si="0"/>
        <v>1.5647226173541962E-2</v>
      </c>
      <c r="T1" s="27">
        <f t="shared" si="0"/>
        <v>0.17935040303461355</v>
      </c>
    </row>
    <row r="2" spans="1:48" ht="15.75">
      <c r="C2" s="47" t="s">
        <v>28</v>
      </c>
      <c r="D2" s="47"/>
      <c r="F2" s="47" t="s">
        <v>23</v>
      </c>
      <c r="G2" s="47"/>
      <c r="H2" s="47"/>
      <c r="I2" s="47"/>
      <c r="J2" s="16"/>
      <c r="K2" s="16"/>
      <c r="L2" s="22"/>
      <c r="N2" s="47"/>
      <c r="O2" s="47"/>
      <c r="P2" s="47"/>
      <c r="Q2" s="47"/>
      <c r="R2" s="47"/>
      <c r="S2" s="47"/>
      <c r="T2" s="47"/>
      <c r="U2" s="47" t="s">
        <v>19</v>
      </c>
      <c r="V2" s="47"/>
      <c r="W2" s="47"/>
    </row>
    <row r="3" spans="1:48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J3" s="1" t="s">
        <v>14</v>
      </c>
      <c r="L3" s="1" t="s">
        <v>2</v>
      </c>
      <c r="M3" s="1" t="s">
        <v>3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20</v>
      </c>
      <c r="V3" s="1" t="s">
        <v>21</v>
      </c>
      <c r="W3" s="1" t="s">
        <v>22</v>
      </c>
      <c r="X3" s="1" t="s">
        <v>46</v>
      </c>
      <c r="AP3" s="1" t="s">
        <v>61</v>
      </c>
    </row>
    <row r="4" spans="1:48" s="1" customFormat="1" ht="15.75">
      <c r="K4" s="1" t="s">
        <v>64</v>
      </c>
      <c r="L4" s="1">
        <v>5082</v>
      </c>
      <c r="M4" s="1">
        <v>16515</v>
      </c>
      <c r="N4" s="1">
        <v>6776</v>
      </c>
      <c r="O4" s="1">
        <v>9592</v>
      </c>
      <c r="P4" s="1">
        <v>8190</v>
      </c>
      <c r="Q4" s="1">
        <v>2092</v>
      </c>
      <c r="R4" s="1">
        <v>514</v>
      </c>
      <c r="S4" s="1">
        <v>528</v>
      </c>
      <c r="T4" s="1">
        <v>6052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62</v>
      </c>
      <c r="AL4" s="1" t="s">
        <v>63</v>
      </c>
      <c r="AM4" s="1" t="s">
        <v>66</v>
      </c>
      <c r="AN4" s="1" t="s">
        <v>67</v>
      </c>
      <c r="AP4" s="1" t="s">
        <v>17</v>
      </c>
      <c r="AQ4" s="1" t="s">
        <v>15</v>
      </c>
      <c r="AR4" s="1" t="s">
        <v>16</v>
      </c>
      <c r="AS4" s="1" t="s">
        <v>12</v>
      </c>
      <c r="AT4" s="1" t="s">
        <v>13</v>
      </c>
      <c r="AU4" s="1" t="s">
        <v>18</v>
      </c>
      <c r="AV4" s="1" t="s">
        <v>14</v>
      </c>
    </row>
    <row r="5" spans="1:48" ht="15.75">
      <c r="A5" s="5">
        <v>1</v>
      </c>
      <c r="B5" s="9">
        <v>2020</v>
      </c>
      <c r="C5" s="9" t="s">
        <v>4</v>
      </c>
      <c r="D5" s="9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9" t="s">
        <v>45</v>
      </c>
      <c r="J5" s="9">
        <v>500</v>
      </c>
      <c r="K5" s="9">
        <v>0.8</v>
      </c>
      <c r="L5" s="25">
        <f>'[1]Arc Results'!$I$10960+'[1]Arc Results'!$I$10971+'[1]Arc Results'!$I$10982+'[1]Arc Results'!$I$10993+'[1]Arc Results'!$I$11004+'[1]Arc Results'!$I$11015+'[1]Arc Results'!$I$11026+'[1]Arc Results'!$I$11037+'[1]Arc Results'!$I$11048+'[1]Arc Results'!$I$11059+'[1]Arc Results'!$I$11070+'[1]Arc Results'!$I$11081+'[1]Arc Results'!$I$11092+'[1]Arc Results'!$I$11103+'[1]Arc Results'!$I$11114+'[1]Arc Results'!$I$11125+'[1]Arc Results'!$I$11136+'[1]Arc Results'!$I$11147+'[1]Arc Results'!$I$11158+'[1]Arc Results'!$I$11169+'[1]Arc Results'!$I$11180+'[1]Arc Results'!$I$11191+'[1]Arc Results'!$I$11202+'[1]Arc Results'!$I$11213+'[1]Arc Results'!$I$11224+'[1]Arc Results'!$I$11235+'[1]Arc Results'!$I$11246+'[1]Arc Results'!$I$11257+'[1]Arc Results'!$I$11268</f>
        <v>3972.5461743629357</v>
      </c>
      <c r="M5" s="21">
        <f>'[1]Arc Results'!$I$257</f>
        <v>6165.659657142859</v>
      </c>
      <c r="N5" s="21">
        <f t="shared" ref="N5" si="1">SUM(AG5:AH5)</f>
        <v>5703.5762548262555</v>
      </c>
      <c r="O5" s="26">
        <f t="shared" ref="O5" si="2">SUM(AI5:AJ5)</f>
        <v>9908.2432432432433</v>
      </c>
      <c r="P5" s="22">
        <f t="shared" ref="P5" si="3">SUM(AM5:AN5)</f>
        <v>7992.5072681081056</v>
      </c>
      <c r="Q5" s="22">
        <f t="shared" ref="Q5" si="4">SUM(AC5:AD5)</f>
        <v>2247.864864864865</v>
      </c>
      <c r="R5" s="22">
        <f t="shared" ref="R5" si="5">SUM(AE5:AF5)</f>
        <v>546.26833976833973</v>
      </c>
      <c r="S5" s="22">
        <f t="shared" ref="S5" si="6">SUM(AA5:AB5)</f>
        <v>518.18918918918916</v>
      </c>
      <c r="T5" s="22">
        <f t="shared" ref="T5" si="7">SUM(AK5:AL5)</f>
        <v>6130</v>
      </c>
      <c r="U5" s="21"/>
      <c r="V5" s="21"/>
      <c r="W5" s="21"/>
      <c r="X5" s="23">
        <f t="shared" ref="X5" si="8">SUM(U5:W5)</f>
        <v>0</v>
      </c>
      <c r="Y5" s="22"/>
      <c r="Z5" s="24">
        <f t="shared" ref="Z5" si="9">M5+N5+O5+P5+Q5+R5+S5+T5</f>
        <v>39212.308817142861</v>
      </c>
      <c r="AA5" s="22">
        <f>'[1]Arc Results'!$I$15</f>
        <v>254.18918918918914</v>
      </c>
      <c r="AB5" s="22">
        <f>'[1]Arc Results'!$I$26</f>
        <v>264</v>
      </c>
      <c r="AC5" s="22">
        <f>'[1]Arc Results'!$I$48</f>
        <v>1003.2277992277992</v>
      </c>
      <c r="AD5" s="22">
        <f>'[1]Arc Results'!$I$59</f>
        <v>1244.6370656370657</v>
      </c>
      <c r="AE5" s="22">
        <f>'[1]Arc Results'!$I$114</f>
        <v>257.18339768339769</v>
      </c>
      <c r="AF5" s="22">
        <f>'[1]Arc Results'!$I$125</f>
        <v>289.0849420849421</v>
      </c>
      <c r="AG5" s="22">
        <f>'[1]Arc Results'!$I$147</f>
        <v>2832.0125482625485</v>
      </c>
      <c r="AH5" s="22">
        <f>'[1]Arc Results'!$I$158</f>
        <v>2871.5637065637065</v>
      </c>
      <c r="AI5" s="22">
        <f>'[1]Arc Results'!$I$213</f>
        <v>4777.4324324324325</v>
      </c>
      <c r="AJ5" s="22">
        <f>'[1]Arc Results'!$I$224</f>
        <v>5130.8108108108108</v>
      </c>
      <c r="AK5" s="22">
        <f>'[1]Arc Results'!$I$180</f>
        <v>3063</v>
      </c>
      <c r="AL5" s="22">
        <f>'[1]Arc Results'!$I$191</f>
        <v>3067</v>
      </c>
      <c r="AM5" s="22">
        <f>'[1]Arc Results'!$I$81</f>
        <v>3644.2167275675656</v>
      </c>
      <c r="AN5" s="22">
        <f>'[1]Arc Results'!$I$92</f>
        <v>4348.29054054054</v>
      </c>
      <c r="AP5" s="9">
        <f t="shared" ref="AP5" si="10">2*AB5/SUM(AA5:AB5)</f>
        <v>1.0189328743545611</v>
      </c>
      <c r="AQ5" s="9">
        <f t="shared" ref="AQ5" si="11">2*AD5/SUM(AC5:AD5)</f>
        <v>1.1073949195890738</v>
      </c>
      <c r="AR5" s="9">
        <f t="shared" ref="AR5" si="12">2*AF5/SUM(AE5:AF5)</f>
        <v>1.0583990359299849</v>
      </c>
      <c r="AS5" s="9">
        <f t="shared" ref="AS5" si="13">2*AH5/SUM(AG5:AH5)</f>
        <v>1.0069344489376626</v>
      </c>
      <c r="AT5" s="9">
        <f t="shared" ref="AT5" si="14">2*AJ5/SUM(AI5:AJ5)</f>
        <v>1.0356650891286261</v>
      </c>
      <c r="AU5" s="9">
        <f t="shared" ref="AU5" si="15">2*AL5/SUM(AK5:AL5)</f>
        <v>1.000652528548124</v>
      </c>
      <c r="AV5" s="9">
        <f t="shared" ref="AV5" si="16">2*AN5/SUM(AM5:AN5)</f>
        <v>1.0880917325883939</v>
      </c>
    </row>
    <row r="6" spans="1:48" ht="15.75">
      <c r="A6">
        <f>A5+1</f>
        <v>2</v>
      </c>
      <c r="B6" s="9">
        <v>2020</v>
      </c>
      <c r="C6" s="9" t="s">
        <v>4</v>
      </c>
      <c r="D6" s="9" t="s">
        <v>5</v>
      </c>
      <c r="E6" s="7" t="s">
        <v>6</v>
      </c>
      <c r="F6" s="7" t="s">
        <v>76</v>
      </c>
      <c r="G6" s="7" t="s">
        <v>8</v>
      </c>
      <c r="H6" s="7" t="s">
        <v>9</v>
      </c>
      <c r="I6" s="9" t="s">
        <v>45</v>
      </c>
      <c r="J6" s="9">
        <v>500</v>
      </c>
      <c r="K6" s="9">
        <v>0.8</v>
      </c>
      <c r="L6" s="21">
        <f>'[2]Arc Results'!$I$10960+'[2]Arc Results'!$I$10971+'[2]Arc Results'!$I$10982+'[2]Arc Results'!$I$10993+'[2]Arc Results'!$I$11004+'[2]Arc Results'!$I$11015+'[2]Arc Results'!$I$11026+'[2]Arc Results'!$I$11037+'[2]Arc Results'!$I$11048+'[2]Arc Results'!$I$11059+'[2]Arc Results'!$I$11070+'[2]Arc Results'!$I$11081+'[2]Arc Results'!$I$11092+'[2]Arc Results'!$I$11103+'[2]Arc Results'!$I$11114+'[2]Arc Results'!$I$11125+'[2]Arc Results'!$I$11136+'[2]Arc Results'!$I$11147+'[2]Arc Results'!$I$11158+'[2]Arc Results'!$I$11169+'[2]Arc Results'!$I$11180+'[2]Arc Results'!$I$11191+'[2]Arc Results'!$I$11202+'[2]Arc Results'!$I$11213+'[2]Arc Results'!$I$11224+'[2]Arc Results'!$I$11235+'[2]Arc Results'!$I$11246+'[2]Arc Results'!$I$11257+'[2]Arc Results'!$I$11268</f>
        <v>3866.4781241698852</v>
      </c>
      <c r="M6" s="21">
        <f>'[2]Arc Results'!$I$257</f>
        <v>6165.6596571428563</v>
      </c>
      <c r="N6" s="21">
        <f t="shared" ref="N6" si="17">SUM(AG6:AH6)</f>
        <v>6123.9999999999982</v>
      </c>
      <c r="O6" s="21">
        <f t="shared" ref="O6" si="18">SUM(AI6:AJ6)</f>
        <v>9805.7775383783774</v>
      </c>
      <c r="P6" s="22">
        <f t="shared" ref="P6" si="19">SUM(AM6:AN6)</f>
        <v>7824.7422779922781</v>
      </c>
      <c r="Q6" s="22">
        <f t="shared" ref="Q6" si="20">SUM(AC6:AD6)</f>
        <v>2127.1602316602316</v>
      </c>
      <c r="R6" s="22">
        <f t="shared" ref="R6" si="21">SUM(AE6:AF6)</f>
        <v>539.88803088803093</v>
      </c>
      <c r="S6" s="22">
        <f t="shared" ref="S6" si="22">SUM(AA6:AB6)</f>
        <v>495.08108108108104</v>
      </c>
      <c r="T6" s="22">
        <f t="shared" ref="T6" si="23">SUM(AK6:AL6)</f>
        <v>6130</v>
      </c>
      <c r="U6" s="21"/>
      <c r="V6" s="21"/>
      <c r="W6" s="21"/>
      <c r="X6" s="23">
        <f t="shared" ref="X6" si="24">SUM(U6:W6)</f>
        <v>0</v>
      </c>
      <c r="Y6" s="22"/>
      <c r="Z6" s="24">
        <f t="shared" ref="Z6" si="25">M6+N6+O6+P6+Q6+R6+S6+T6</f>
        <v>39212.308817142861</v>
      </c>
      <c r="AA6" s="22">
        <f>'[2]Arc Results'!$I$15</f>
        <v>231.08108108108104</v>
      </c>
      <c r="AB6" s="22">
        <f>'[2]Arc Results'!$I$26</f>
        <v>264</v>
      </c>
      <c r="AC6" s="22">
        <f>'[2]Arc Results'!$I$48</f>
        <v>942.87548262548262</v>
      </c>
      <c r="AD6" s="22">
        <f>'[2]Arc Results'!$I$59</f>
        <v>1184.284749034749</v>
      </c>
      <c r="AE6" s="22">
        <f>'[2]Arc Results'!$I$114</f>
        <v>257.18339768339769</v>
      </c>
      <c r="AF6" s="22">
        <f>'[2]Arc Results'!$I$125</f>
        <v>282.70463320463318</v>
      </c>
      <c r="AG6" s="22">
        <f>'[2]Arc Results'!$I$147</f>
        <v>2863.6534749034749</v>
      </c>
      <c r="AH6" s="22">
        <f>'[2]Arc Results'!$I$158</f>
        <v>3260.3465250965237</v>
      </c>
      <c r="AI6" s="22">
        <f>'[2]Arc Results'!$I$213</f>
        <v>4745.6424032432415</v>
      </c>
      <c r="AJ6" s="22">
        <f>'[2]Arc Results'!$I$224</f>
        <v>5060.135135135135</v>
      </c>
      <c r="AK6" s="22">
        <f>'[2]Arc Results'!$I$180</f>
        <v>3063</v>
      </c>
      <c r="AL6" s="22">
        <f>'[2]Arc Results'!$I$191</f>
        <v>3067</v>
      </c>
      <c r="AM6" s="22">
        <f>'[2]Arc Results'!$I$81</f>
        <v>3621.7582046332045</v>
      </c>
      <c r="AN6" s="22">
        <f>'[2]Arc Results'!$I$92</f>
        <v>4202.9840733590736</v>
      </c>
      <c r="AP6" s="9">
        <f t="shared" ref="AP6:AP56" si="26">2*AB6/SUM(AA6:AB6)</f>
        <v>1.0664919751064528</v>
      </c>
      <c r="AQ6" s="9">
        <f t="shared" ref="AQ6:AQ56" si="27">2*AD6/SUM(AC6:AD6)</f>
        <v>1.1134889900705074</v>
      </c>
      <c r="AR6" s="9">
        <f t="shared" ref="AR6:AR56" si="28">2*AF6/SUM(AE6:AF6)</f>
        <v>1.047271348985561</v>
      </c>
      <c r="AS6" s="9">
        <f t="shared" ref="AS6:AS56" si="29">2*AH6/SUM(AG6:AH6)</f>
        <v>1.0647767880785515</v>
      </c>
      <c r="AT6" s="9">
        <f t="shared" ref="AT6:AT56" si="30">2*AJ6/SUM(AI6:AJ6)</f>
        <v>1.0320721871020442</v>
      </c>
      <c r="AU6" s="9">
        <f t="shared" ref="AU6:AU56" si="31">2*AL6/SUM(AK6:AL6)</f>
        <v>1.000652528548124</v>
      </c>
      <c r="AV6" s="9">
        <f t="shared" ref="AV6:AV56" si="32">2*AN6/SUM(AM6:AN6)</f>
        <v>1.074280512773004</v>
      </c>
    </row>
    <row r="7" spans="1:48" ht="15.75">
      <c r="A7">
        <f t="shared" ref="A7:A30" si="33">A6+1</f>
        <v>3</v>
      </c>
      <c r="B7" s="9">
        <v>2020</v>
      </c>
      <c r="C7" s="9" t="s">
        <v>4</v>
      </c>
      <c r="D7" s="9" t="s">
        <v>5</v>
      </c>
      <c r="E7" s="7" t="s">
        <v>6</v>
      </c>
      <c r="F7" s="7" t="s">
        <v>77</v>
      </c>
      <c r="G7" s="7" t="s">
        <v>8</v>
      </c>
      <c r="H7" s="7" t="s">
        <v>9</v>
      </c>
      <c r="I7" s="9" t="s">
        <v>45</v>
      </c>
      <c r="J7" s="9">
        <v>500</v>
      </c>
      <c r="K7" s="9">
        <v>0.8</v>
      </c>
      <c r="L7" s="21">
        <f>'[3]Arc Results'!$I$10960+'[3]Arc Results'!$I$10971+'[3]Arc Results'!$I$10982+'[3]Arc Results'!$I$10993+'[3]Arc Results'!$I$11004+'[3]Arc Results'!$I$11015+'[3]Arc Results'!$I$11026+'[3]Arc Results'!$I$11037+'[3]Arc Results'!$I$11048+'[3]Arc Results'!$I$11059+'[3]Arc Results'!$I$11070+'[3]Arc Results'!$I$11081+'[3]Arc Results'!$I$11092+'[3]Arc Results'!$I$11103+'[3]Arc Results'!$I$11114+'[3]Arc Results'!$I$11125+'[3]Arc Results'!$I$11136+'[3]Arc Results'!$I$11147+'[3]Arc Results'!$I$11158+'[3]Arc Results'!$I$11169+'[3]Arc Results'!$I$11180+'[3]Arc Results'!$I$11191+'[3]Arc Results'!$I$11202+'[3]Arc Results'!$I$11213+'[3]Arc Results'!$I$11224+'[3]Arc Results'!$I$11235+'[3]Arc Results'!$I$11246+'[3]Arc Results'!$I$11257+'[3]Arc Results'!$I$11268</f>
        <v>3559.9306050965292</v>
      </c>
      <c r="M7" s="21">
        <f>'[3]Arc Results'!$I$257</f>
        <v>6165.659657142879</v>
      </c>
      <c r="N7" s="21">
        <f t="shared" ref="N7:N43" si="34">SUM(AG7:AH7)</f>
        <v>5648.2046332046339</v>
      </c>
      <c r="O7" s="21">
        <f t="shared" ref="O7:O43" si="35">SUM(AI7:AJ7)</f>
        <v>11504.000000000002</v>
      </c>
      <c r="P7" s="22">
        <f t="shared" ref="P7:P43" si="36">SUM(AM7:AN7)</f>
        <v>7046.6001287663739</v>
      </c>
      <c r="Q7" s="22">
        <f t="shared" ref="Q7:Q43" si="37">SUM(AC7:AD7)</f>
        <v>1767.3733555579443</v>
      </c>
      <c r="R7" s="22">
        <f t="shared" ref="R7:R43" si="38">SUM(AE7:AF7)</f>
        <v>501.6061776061776</v>
      </c>
      <c r="S7" s="22">
        <f t="shared" ref="S7:S43" si="39">SUM(AA7:AB7)</f>
        <v>448.86486486486484</v>
      </c>
      <c r="T7" s="22">
        <f t="shared" ref="T7:T43" si="40">SUM(AK7:AL7)</f>
        <v>6130</v>
      </c>
      <c r="U7" s="21"/>
      <c r="V7" s="21"/>
      <c r="W7" s="21"/>
      <c r="X7" s="23">
        <f t="shared" ref="X7:X43" si="41">SUM(U7:W7)</f>
        <v>0</v>
      </c>
      <c r="Y7" s="22"/>
      <c r="Z7" s="24">
        <f t="shared" ref="Z7:Z43" si="42">M7+N7+O7+P7+Q7+R7+S7+T7</f>
        <v>39212.308817142875</v>
      </c>
      <c r="AA7" s="22">
        <f>'[3]Arc Results'!$I$15</f>
        <v>184.86486486486484</v>
      </c>
      <c r="AB7" s="22">
        <f>'[3]Arc Results'!$I$26</f>
        <v>264</v>
      </c>
      <c r="AC7" s="22">
        <f>'[3]Arc Results'!$I$48</f>
        <v>761.81853281853284</v>
      </c>
      <c r="AD7" s="22">
        <f>'[3]Arc Results'!$I$59</f>
        <v>1005.5548227394115</v>
      </c>
      <c r="AE7" s="22">
        <f>'[3]Arc Results'!$I$114</f>
        <v>238.04247104247105</v>
      </c>
      <c r="AF7" s="22">
        <f>'[3]Arc Results'!$I$125</f>
        <v>263.56370656370655</v>
      </c>
      <c r="AG7" s="22">
        <f>'[3]Arc Results'!$I$147</f>
        <v>2808.2818532818533</v>
      </c>
      <c r="AH7" s="22">
        <f>'[3]Arc Results'!$I$158</f>
        <v>2839.9227799227801</v>
      </c>
      <c r="AI7" s="22">
        <f>'[3]Arc Results'!$I$213</f>
        <v>5176.8000000000011</v>
      </c>
      <c r="AJ7" s="22">
        <f>'[3]Arc Results'!$I$224</f>
        <v>6327.2000000000007</v>
      </c>
      <c r="AK7" s="22">
        <f>'[3]Arc Results'!$I$180</f>
        <v>3063</v>
      </c>
      <c r="AL7" s="22">
        <f>'[3]Arc Results'!$I$191</f>
        <v>3067</v>
      </c>
      <c r="AM7" s="22">
        <f>'[3]Arc Results'!$I$81</f>
        <v>3185.8388030888032</v>
      </c>
      <c r="AN7" s="22">
        <f>'[3]Arc Results'!$I$92</f>
        <v>3860.7613256775708</v>
      </c>
      <c r="AP7" s="9">
        <f t="shared" si="26"/>
        <v>1.1763005780346822</v>
      </c>
      <c r="AQ7" s="9">
        <f t="shared" si="27"/>
        <v>1.1379087724471966</v>
      </c>
      <c r="AR7" s="9">
        <f t="shared" si="28"/>
        <v>1.0508790295267711</v>
      </c>
      <c r="AS7" s="9">
        <f t="shared" si="29"/>
        <v>1.0056019441036035</v>
      </c>
      <c r="AT7" s="9">
        <f t="shared" si="30"/>
        <v>1.0999999999999999</v>
      </c>
      <c r="AU7" s="9">
        <f t="shared" si="31"/>
        <v>1.000652528548124</v>
      </c>
      <c r="AV7" s="9">
        <f t="shared" si="32"/>
        <v>1.0957798811136632</v>
      </c>
    </row>
    <row r="8" spans="1:48" ht="15.75">
      <c r="A8">
        <f t="shared" si="33"/>
        <v>4</v>
      </c>
      <c r="B8" s="9">
        <v>2020</v>
      </c>
      <c r="C8" s="9" t="s">
        <v>4</v>
      </c>
      <c r="D8" s="9" t="s">
        <v>5</v>
      </c>
      <c r="E8" s="7" t="s">
        <v>6</v>
      </c>
      <c r="F8" s="7" t="s">
        <v>78</v>
      </c>
      <c r="G8" s="7" t="s">
        <v>8</v>
      </c>
      <c r="H8" s="7" t="s">
        <v>9</v>
      </c>
      <c r="I8" s="9" t="s">
        <v>45</v>
      </c>
      <c r="J8" s="9">
        <v>500</v>
      </c>
      <c r="K8" s="9">
        <v>0.8</v>
      </c>
      <c r="L8" s="25">
        <f>'[4]Arc Results'!$I$10960+'[4]Arc Results'!$I$10971+'[4]Arc Results'!$I$10982+'[4]Arc Results'!$I$10993+'[4]Arc Results'!$I$11004+'[4]Arc Results'!$I$11015+'[4]Arc Results'!$I$11026+'[4]Arc Results'!$I$11037+'[4]Arc Results'!$I$11048+'[4]Arc Results'!$I$11059+'[4]Arc Results'!$I$11070+'[4]Arc Results'!$I$11081+'[4]Arc Results'!$I$11092+'[4]Arc Results'!$I$11103+'[4]Arc Results'!$I$11114+'[4]Arc Results'!$I$11125+'[4]Arc Results'!$I$11136+'[4]Arc Results'!$I$11147+'[4]Arc Results'!$I$11158+'[4]Arc Results'!$I$11169+'[4]Arc Results'!$I$11180+'[4]Arc Results'!$I$11191+'[4]Arc Results'!$I$11202+'[4]Arc Results'!$I$11213+'[4]Arc Results'!$I$11224+'[4]Arc Results'!$I$11235+'[4]Arc Results'!$I$11246+'[4]Arc Results'!$I$11257+'[4]Arc Results'!$I$11268</f>
        <v>3733.8733944401574</v>
      </c>
      <c r="M8" s="21">
        <f>'[4]Arc Results'!$I$257</f>
        <v>6165.6596571428563</v>
      </c>
      <c r="N8" s="21">
        <f t="shared" si="34"/>
        <v>5545.3716216216217</v>
      </c>
      <c r="O8" s="26">
        <f t="shared" si="35"/>
        <v>8510.5516696525083</v>
      </c>
      <c r="P8" s="25">
        <f t="shared" si="36"/>
        <v>11210</v>
      </c>
      <c r="Q8" s="22">
        <f t="shared" si="37"/>
        <v>1040.8185328185327</v>
      </c>
      <c r="R8" s="22">
        <f t="shared" si="38"/>
        <v>425.04247104247099</v>
      </c>
      <c r="S8" s="22">
        <f t="shared" si="39"/>
        <v>184.86486486486484</v>
      </c>
      <c r="T8" s="22">
        <f t="shared" si="40"/>
        <v>6130</v>
      </c>
      <c r="U8" s="21"/>
      <c r="V8" s="21"/>
      <c r="W8" s="21"/>
      <c r="X8" s="23">
        <f t="shared" si="41"/>
        <v>0</v>
      </c>
      <c r="Y8" s="22"/>
      <c r="Z8" s="24">
        <f t="shared" si="42"/>
        <v>39212.308817142861</v>
      </c>
      <c r="AA8" s="22">
        <f>'[4]Arc Results'!$I$15</f>
        <v>46.21621621621621</v>
      </c>
      <c r="AB8" s="22">
        <f>'[4]Arc Results'!$I$26</f>
        <v>138.64864864864862</v>
      </c>
      <c r="AC8" s="22">
        <f>'[4]Arc Results'!$I$48</f>
        <v>399.70463320463318</v>
      </c>
      <c r="AD8" s="22">
        <f>'[4]Arc Results'!$I$59</f>
        <v>641.11389961389966</v>
      </c>
      <c r="AE8" s="22">
        <f>'[4]Arc Results'!$I$114</f>
        <v>199.76061776061775</v>
      </c>
      <c r="AF8" s="22">
        <f>'[4]Arc Results'!$I$125</f>
        <v>225.28185328185327</v>
      </c>
      <c r="AG8" s="22">
        <f>'[4]Arc Results'!$I$147</f>
        <v>2752.9102316602316</v>
      </c>
      <c r="AH8" s="22">
        <f>'[4]Arc Results'!$I$158</f>
        <v>2792.4613899613901</v>
      </c>
      <c r="AI8" s="22">
        <f>'[4]Arc Results'!$I$213</f>
        <v>4086.4976155984541</v>
      </c>
      <c r="AJ8" s="22">
        <f>'[4]Arc Results'!$I$224</f>
        <v>4424.0540540540542</v>
      </c>
      <c r="AK8" s="22">
        <f>'[4]Arc Results'!$I$180</f>
        <v>3063</v>
      </c>
      <c r="AL8" s="22">
        <f>'[4]Arc Results'!$I$191</f>
        <v>3067</v>
      </c>
      <c r="AM8" s="22">
        <f>'[4]Arc Results'!$I$81</f>
        <v>5044.4999999999982</v>
      </c>
      <c r="AN8" s="22">
        <f>'[4]Arc Results'!$I$92</f>
        <v>6165.5000000000009</v>
      </c>
      <c r="AP8" s="9">
        <f t="shared" si="26"/>
        <v>1.4999999999999998</v>
      </c>
      <c r="AQ8" s="9">
        <f t="shared" si="27"/>
        <v>1.2319417446915855</v>
      </c>
      <c r="AR8" s="9">
        <f t="shared" si="28"/>
        <v>1.0600439656268736</v>
      </c>
      <c r="AS8" s="9">
        <f t="shared" si="29"/>
        <v>1.0071322827395277</v>
      </c>
      <c r="AT8" s="9">
        <f t="shared" si="30"/>
        <v>1.0396632852438088</v>
      </c>
      <c r="AU8" s="9">
        <f t="shared" si="31"/>
        <v>1.000652528548124</v>
      </c>
      <c r="AV8" s="9">
        <f t="shared" si="32"/>
        <v>1.1000000000000001</v>
      </c>
    </row>
    <row r="9" spans="1:48" ht="15.75">
      <c r="A9">
        <f t="shared" si="33"/>
        <v>5</v>
      </c>
      <c r="B9" s="9">
        <v>2020</v>
      </c>
      <c r="C9" s="9" t="s">
        <v>4</v>
      </c>
      <c r="D9" s="9" t="s">
        <v>5</v>
      </c>
      <c r="E9" s="7" t="s">
        <v>6</v>
      </c>
      <c r="F9" s="7" t="s">
        <v>79</v>
      </c>
      <c r="G9" s="7" t="s">
        <v>8</v>
      </c>
      <c r="H9" s="7" t="s">
        <v>9</v>
      </c>
      <c r="I9" s="9" t="s">
        <v>45</v>
      </c>
      <c r="J9" s="9">
        <v>500</v>
      </c>
      <c r="K9" s="9">
        <v>0.8</v>
      </c>
      <c r="L9" s="21">
        <f>'[5]Arc Results'!$I$10960+'[5]Arc Results'!$I$10971+'[5]Arc Results'!$I$10982+'[5]Arc Results'!$I$10993+'[5]Arc Results'!$I$11004+'[5]Arc Results'!$I$11015+'[5]Arc Results'!$I$11026+'[5]Arc Results'!$I$11037+'[5]Arc Results'!$I$11048+'[5]Arc Results'!$I$11059+'[5]Arc Results'!$I$11070+'[5]Arc Results'!$I$11081+'[5]Arc Results'!$I$11092+'[5]Arc Results'!$I$11103+'[5]Arc Results'!$I$11114+'[5]Arc Results'!$I$11125+'[5]Arc Results'!$I$11136+'[5]Arc Results'!$I$11147+'[5]Arc Results'!$I$11158+'[5]Arc Results'!$I$11169+'[5]Arc Results'!$I$11180+'[5]Arc Results'!$I$11191+'[5]Arc Results'!$I$11202+'[5]Arc Results'!$I$11213+'[5]Arc Results'!$I$11224+'[5]Arc Results'!$I$11235+'[5]Arc Results'!$I$11246+'[5]Arc Results'!$I$11257+'[5]Arc Results'!$I$11268</f>
        <v>3972.5461743629344</v>
      </c>
      <c r="M9" s="21">
        <f>'[5]Arc Results'!$I$257</f>
        <v>6165.6596571428563</v>
      </c>
      <c r="N9" s="21">
        <f t="shared" si="34"/>
        <v>5703.5762548262555</v>
      </c>
      <c r="O9" s="21">
        <f t="shared" si="35"/>
        <v>9908.2432432432433</v>
      </c>
      <c r="P9" s="22">
        <f t="shared" si="36"/>
        <v>7982.6964572972938</v>
      </c>
      <c r="Q9" s="22">
        <f t="shared" si="37"/>
        <v>2247.864864864865</v>
      </c>
      <c r="R9" s="22">
        <f t="shared" si="38"/>
        <v>546.26833976833973</v>
      </c>
      <c r="S9" s="22">
        <f t="shared" si="39"/>
        <v>528</v>
      </c>
      <c r="T9" s="22">
        <f t="shared" si="40"/>
        <v>6130</v>
      </c>
      <c r="U9" s="21"/>
      <c r="V9" s="21"/>
      <c r="W9" s="21"/>
      <c r="X9" s="23">
        <f t="shared" si="41"/>
        <v>0</v>
      </c>
      <c r="Y9" s="22"/>
      <c r="Z9" s="24">
        <f t="shared" si="42"/>
        <v>39212.308817142854</v>
      </c>
      <c r="AA9" s="22">
        <f>'[5]Arc Results'!$I$15</f>
        <v>264</v>
      </c>
      <c r="AB9" s="22">
        <f>'[5]Arc Results'!$I$26</f>
        <v>264</v>
      </c>
      <c r="AC9" s="22">
        <f>'[5]Arc Results'!$I$48</f>
        <v>1003.2277992277992</v>
      </c>
      <c r="AD9" s="22">
        <f>'[5]Arc Results'!$I$59</f>
        <v>1244.6370656370657</v>
      </c>
      <c r="AE9" s="22">
        <f>'[5]Arc Results'!$I$114</f>
        <v>257.18339768339769</v>
      </c>
      <c r="AF9" s="22">
        <f>'[5]Arc Results'!$I$125</f>
        <v>289.0849420849421</v>
      </c>
      <c r="AG9" s="22">
        <f>'[5]Arc Results'!$I$147</f>
        <v>2832.0125482625485</v>
      </c>
      <c r="AH9" s="22">
        <f>'[5]Arc Results'!$I$158</f>
        <v>2871.5637065637065</v>
      </c>
      <c r="AI9" s="22">
        <f>'[5]Arc Results'!$I$213</f>
        <v>4777.4324324324325</v>
      </c>
      <c r="AJ9" s="22">
        <f>'[5]Arc Results'!$I$224</f>
        <v>5130.8108108108108</v>
      </c>
      <c r="AK9" s="22">
        <f>'[5]Arc Results'!$I$180</f>
        <v>3063</v>
      </c>
      <c r="AL9" s="22">
        <f>'[5]Arc Results'!$I$191</f>
        <v>3067</v>
      </c>
      <c r="AM9" s="22">
        <f>'[5]Arc Results'!$I$81</f>
        <v>3634.4059167567534</v>
      </c>
      <c r="AN9" s="22">
        <f>'[5]Arc Results'!$I$92</f>
        <v>4348.29054054054</v>
      </c>
      <c r="AP9" s="9">
        <f t="shared" si="26"/>
        <v>1</v>
      </c>
      <c r="AQ9" s="9">
        <f t="shared" si="27"/>
        <v>1.1073949195890738</v>
      </c>
      <c r="AR9" s="9">
        <f t="shared" si="28"/>
        <v>1.0583990359299849</v>
      </c>
      <c r="AS9" s="9">
        <f t="shared" si="29"/>
        <v>1.0069344489376626</v>
      </c>
      <c r="AT9" s="9">
        <f t="shared" si="30"/>
        <v>1.0356650891286261</v>
      </c>
      <c r="AU9" s="9">
        <f t="shared" si="31"/>
        <v>1.000652528548124</v>
      </c>
      <c r="AV9" s="9">
        <f t="shared" si="32"/>
        <v>1.0894290078048998</v>
      </c>
    </row>
    <row r="10" spans="1:48" ht="15.75">
      <c r="A10">
        <f t="shared" si="33"/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80</v>
      </c>
      <c r="G10" s="7" t="s">
        <v>8</v>
      </c>
      <c r="H10" s="7" t="s">
        <v>9</v>
      </c>
      <c r="I10" s="9" t="s">
        <v>45</v>
      </c>
      <c r="J10" s="9">
        <v>500</v>
      </c>
      <c r="K10" s="9">
        <v>0.8</v>
      </c>
      <c r="L10" s="21">
        <f>'[6]Arc Results'!$I$10960+'[6]Arc Results'!$I$10971+'[6]Arc Results'!$I$10982+'[6]Arc Results'!$I$10993+'[6]Arc Results'!$I$11004+'[6]Arc Results'!$I$11015+'[6]Arc Results'!$I$11026+'[6]Arc Results'!$I$11037+'[6]Arc Results'!$I$11048+'[6]Arc Results'!$I$11059+'[6]Arc Results'!$I$11070+'[6]Arc Results'!$I$11081+'[6]Arc Results'!$I$11092+'[6]Arc Results'!$I$11103+'[6]Arc Results'!$I$11114+'[6]Arc Results'!$I$11125+'[6]Arc Results'!$I$11136+'[6]Arc Results'!$I$11147+'[6]Arc Results'!$I$11158+'[6]Arc Results'!$I$11169+'[6]Arc Results'!$I$11180+'[6]Arc Results'!$I$11191+'[6]Arc Results'!$I$11202+'[6]Arc Results'!$I$11213+'[6]Arc Results'!$I$11224+'[6]Arc Results'!$I$11235+'[6]Arc Results'!$I$11246+'[6]Arc Results'!$I$11257+'[6]Arc Results'!$I$11268</f>
        <v>3966.7786067953675</v>
      </c>
      <c r="M10" s="21">
        <f>'[6]Arc Results'!$I$257</f>
        <v>6165.659657142869</v>
      </c>
      <c r="N10" s="21">
        <f t="shared" si="34"/>
        <v>5671.9353281853282</v>
      </c>
      <c r="O10" s="21">
        <f t="shared" si="35"/>
        <v>9625.54054054054</v>
      </c>
      <c r="P10" s="22">
        <f t="shared" si="36"/>
        <v>7406.4532140540496</v>
      </c>
      <c r="Q10" s="22">
        <f t="shared" si="37"/>
        <v>3220.0000000000005</v>
      </c>
      <c r="R10" s="22">
        <f t="shared" si="38"/>
        <v>520.74710424710429</v>
      </c>
      <c r="S10" s="22">
        <f t="shared" si="39"/>
        <v>471.97297297297291</v>
      </c>
      <c r="T10" s="22">
        <f t="shared" si="40"/>
        <v>6130</v>
      </c>
      <c r="U10" s="21"/>
      <c r="V10" s="21"/>
      <c r="W10" s="21"/>
      <c r="X10" s="23">
        <f t="shared" si="41"/>
        <v>0</v>
      </c>
      <c r="Y10" s="22"/>
      <c r="Z10" s="24">
        <f t="shared" si="42"/>
        <v>39212.308817142861</v>
      </c>
      <c r="AA10" s="22">
        <f>'[6]Arc Results'!$I$15</f>
        <v>207.97297297297294</v>
      </c>
      <c r="AB10" s="22">
        <f>'[6]Arc Results'!$I$26</f>
        <v>264</v>
      </c>
      <c r="AC10" s="22">
        <f>'[6]Arc Results'!$I$48</f>
        <v>1509.0500000000004</v>
      </c>
      <c r="AD10" s="22">
        <f>'[6]Arc Results'!$I$59</f>
        <v>1710.95</v>
      </c>
      <c r="AE10" s="22">
        <f>'[6]Arc Results'!$I$114</f>
        <v>244.42277992277991</v>
      </c>
      <c r="AF10" s="22">
        <f>'[6]Arc Results'!$I$125</f>
        <v>276.32432432432432</v>
      </c>
      <c r="AG10" s="22">
        <f>'[6]Arc Results'!$I$147</f>
        <v>2816.1920849420849</v>
      </c>
      <c r="AH10" s="22">
        <f>'[6]Arc Results'!$I$158</f>
        <v>2855.7432432432433</v>
      </c>
      <c r="AI10" s="22">
        <f>'[6]Arc Results'!$I$213</f>
        <v>4636.0810810810808</v>
      </c>
      <c r="AJ10" s="22">
        <f>'[6]Arc Results'!$I$224</f>
        <v>4989.4594594594591</v>
      </c>
      <c r="AK10" s="22">
        <f>'[6]Arc Results'!$I$180</f>
        <v>3063</v>
      </c>
      <c r="AL10" s="22">
        <f>'[6]Arc Results'!$I$191</f>
        <v>3067</v>
      </c>
      <c r="AM10" s="22">
        <f>'[6]Arc Results'!$I$81</f>
        <v>3348.7756078764437</v>
      </c>
      <c r="AN10" s="22">
        <f>'[6]Arc Results'!$I$92</f>
        <v>4057.6776061776059</v>
      </c>
      <c r="AP10" s="9">
        <f t="shared" si="26"/>
        <v>1.1187081257515892</v>
      </c>
      <c r="AQ10" s="9">
        <f t="shared" si="27"/>
        <v>1.062701863354037</v>
      </c>
      <c r="AR10" s="9">
        <f t="shared" si="28"/>
        <v>1.0612611076304832</v>
      </c>
      <c r="AS10" s="9">
        <f t="shared" si="29"/>
        <v>1.0069731328043567</v>
      </c>
      <c r="AT10" s="9">
        <f t="shared" si="30"/>
        <v>1.0367125749343666</v>
      </c>
      <c r="AU10" s="9">
        <f t="shared" si="31"/>
        <v>1.000652528548124</v>
      </c>
      <c r="AV10" s="9">
        <f t="shared" si="32"/>
        <v>1.0957140992879009</v>
      </c>
    </row>
    <row r="11" spans="1:48" ht="15.75">
      <c r="A11">
        <f t="shared" si="33"/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81</v>
      </c>
      <c r="G11" s="7" t="s">
        <v>8</v>
      </c>
      <c r="H11" s="7" t="s">
        <v>9</v>
      </c>
      <c r="I11" s="9" t="s">
        <v>45</v>
      </c>
      <c r="J11" s="9">
        <v>500</v>
      </c>
      <c r="K11" s="9">
        <v>0.8</v>
      </c>
      <c r="L11" s="21">
        <f>'[7]Arc Results'!$I$10960+'[7]Arc Results'!$I$10971+'[7]Arc Results'!$I$10982+'[7]Arc Results'!$I$10993+'[7]Arc Results'!$I$11004+'[7]Arc Results'!$I$11015+'[7]Arc Results'!$I$11026+'[7]Arc Results'!$I$11037+'[7]Arc Results'!$I$11048+'[7]Arc Results'!$I$11059+'[7]Arc Results'!$I$11070+'[7]Arc Results'!$I$11081+'[7]Arc Results'!$I$11092+'[7]Arc Results'!$I$11103+'[7]Arc Results'!$I$11114+'[7]Arc Results'!$I$11125+'[7]Arc Results'!$I$11136+'[7]Arc Results'!$I$11147+'[7]Arc Results'!$I$11158+'[7]Arc Results'!$I$11169+'[7]Arc Results'!$I$11180+'[7]Arc Results'!$I$11191+'[7]Arc Results'!$I$11202+'[7]Arc Results'!$I$11213+'[7]Arc Results'!$I$11224+'[7]Arc Results'!$I$11235+'[7]Arc Results'!$I$11246+'[7]Arc Results'!$I$11257+'[7]Arc Results'!$I$11268</f>
        <v>3968.2519371428602</v>
      </c>
      <c r="M11" s="21">
        <f>'[7]Arc Results'!$I$257</f>
        <v>6165.6596571428436</v>
      </c>
      <c r="N11" s="21">
        <f t="shared" si="34"/>
        <v>5703.5762548262555</v>
      </c>
      <c r="O11" s="21">
        <f t="shared" si="35"/>
        <v>9865.3224225482609</v>
      </c>
      <c r="P11" s="22">
        <f t="shared" si="36"/>
        <v>7970.0487451737445</v>
      </c>
      <c r="Q11" s="22">
        <f t="shared" si="37"/>
        <v>2187.5125482625481</v>
      </c>
      <c r="R11" s="22">
        <f t="shared" si="38"/>
        <v>671.99999999999977</v>
      </c>
      <c r="S11" s="22">
        <f t="shared" si="39"/>
        <v>518.18918918918916</v>
      </c>
      <c r="T11" s="22">
        <f t="shared" si="40"/>
        <v>6130</v>
      </c>
      <c r="U11" s="21"/>
      <c r="V11" s="21"/>
      <c r="W11" s="21"/>
      <c r="X11" s="23">
        <f t="shared" si="41"/>
        <v>0</v>
      </c>
      <c r="Y11" s="22"/>
      <c r="Z11" s="24">
        <f t="shared" si="42"/>
        <v>39212.308817142839</v>
      </c>
      <c r="AA11" s="22">
        <f>'[7]Arc Results'!$I$15</f>
        <v>254.18918918918914</v>
      </c>
      <c r="AB11" s="22">
        <f>'[7]Arc Results'!$I$26</f>
        <v>264</v>
      </c>
      <c r="AC11" s="22">
        <f>'[7]Arc Results'!$I$48</f>
        <v>942.87548262548262</v>
      </c>
      <c r="AD11" s="22">
        <f>'[7]Arc Results'!$I$59</f>
        <v>1244.6370656370657</v>
      </c>
      <c r="AE11" s="22">
        <f>'[7]Arc Results'!$I$114</f>
        <v>335.69999999999982</v>
      </c>
      <c r="AF11" s="22">
        <f>'[7]Arc Results'!$I$125</f>
        <v>336.3</v>
      </c>
      <c r="AG11" s="22">
        <f>'[7]Arc Results'!$I$147</f>
        <v>2832.0125482625485</v>
      </c>
      <c r="AH11" s="22">
        <f>'[7]Arc Results'!$I$158</f>
        <v>2871.5637065637065</v>
      </c>
      <c r="AI11" s="22">
        <f>'[7]Arc Results'!$I$213</f>
        <v>4777.4324324324325</v>
      </c>
      <c r="AJ11" s="22">
        <f>'[7]Arc Results'!$I$224</f>
        <v>5087.8899901158284</v>
      </c>
      <c r="AK11" s="22">
        <f>'[7]Arc Results'!$I$180</f>
        <v>3063</v>
      </c>
      <c r="AL11" s="22">
        <f>'[7]Arc Results'!$I$191</f>
        <v>3067</v>
      </c>
      <c r="AM11" s="22">
        <f>'[7]Arc Results'!$I$81</f>
        <v>3621.7582046332045</v>
      </c>
      <c r="AN11" s="22">
        <f>'[7]Arc Results'!$I$92</f>
        <v>4348.29054054054</v>
      </c>
      <c r="AP11" s="9">
        <f t="shared" si="26"/>
        <v>1.0189328743545611</v>
      </c>
      <c r="AQ11" s="9">
        <f t="shared" si="27"/>
        <v>1.1379473609197168</v>
      </c>
      <c r="AR11" s="9">
        <f t="shared" si="28"/>
        <v>1.0008928571428575</v>
      </c>
      <c r="AS11" s="9">
        <f t="shared" si="29"/>
        <v>1.0069344489376626</v>
      </c>
      <c r="AT11" s="9">
        <f t="shared" si="30"/>
        <v>1.0314695804542395</v>
      </c>
      <c r="AU11" s="9">
        <f t="shared" si="31"/>
        <v>1.000652528548124</v>
      </c>
      <c r="AV11" s="9">
        <f t="shared" si="32"/>
        <v>1.0911578284069199</v>
      </c>
    </row>
    <row r="12" spans="1:48" ht="15.75">
      <c r="A12">
        <f t="shared" si="33"/>
        <v>8</v>
      </c>
      <c r="B12" s="9">
        <v>2020</v>
      </c>
      <c r="C12" s="9" t="s">
        <v>4</v>
      </c>
      <c r="D12" s="9" t="s">
        <v>5</v>
      </c>
      <c r="E12" s="7" t="s">
        <v>6</v>
      </c>
      <c r="F12" s="20" t="s">
        <v>82</v>
      </c>
      <c r="G12" s="7" t="s">
        <v>8</v>
      </c>
      <c r="H12" s="7" t="s">
        <v>9</v>
      </c>
      <c r="I12" s="9" t="s">
        <v>45</v>
      </c>
      <c r="J12" s="9">
        <v>500</v>
      </c>
      <c r="K12" s="9">
        <v>0.8</v>
      </c>
      <c r="L12" s="21">
        <f>'[8]Arc Results'!$I$10960+'[8]Arc Results'!$I$10971+'[8]Arc Results'!$I$10982+'[8]Arc Results'!$I$10993+'[8]Arc Results'!$I$11004+'[8]Arc Results'!$I$11015+'[8]Arc Results'!$I$11026+'[8]Arc Results'!$I$11037+'[8]Arc Results'!$I$11048+'[8]Arc Results'!$I$11059+'[8]Arc Results'!$I$11070+'[8]Arc Results'!$I$11081+'[8]Arc Results'!$I$11092+'[8]Arc Results'!$I$11103+'[8]Arc Results'!$I$11114+'[8]Arc Results'!$I$11125+'[8]Arc Results'!$I$11136+'[8]Arc Results'!$I$11147+'[8]Arc Results'!$I$11158+'[8]Arc Results'!$I$11169+'[8]Arc Results'!$I$11180+'[8]Arc Results'!$I$11191+'[8]Arc Results'!$I$11202+'[8]Arc Results'!$I$11213+'[8]Arc Results'!$I$11224+'[8]Arc Results'!$I$11235+'[8]Arc Results'!$I$11246+'[8]Arc Results'!$I$11257+'[8]Arc Results'!$I$11268</f>
        <v>4095.248365714288</v>
      </c>
      <c r="M12" s="21">
        <f>'[8]Arc Results'!$I$257</f>
        <v>6165.659657142839</v>
      </c>
      <c r="N12" s="21">
        <f t="shared" si="34"/>
        <v>5490</v>
      </c>
      <c r="O12" s="21">
        <f t="shared" si="35"/>
        <v>9978.9189189189201</v>
      </c>
      <c r="P12" s="22">
        <f t="shared" si="36"/>
        <v>8119.2167275675638</v>
      </c>
      <c r="Q12" s="22">
        <f t="shared" si="37"/>
        <v>2247.864864864865</v>
      </c>
      <c r="R12" s="22">
        <f t="shared" si="38"/>
        <v>552.64864864864865</v>
      </c>
      <c r="S12" s="22">
        <f t="shared" si="39"/>
        <v>528</v>
      </c>
      <c r="T12" s="22">
        <f t="shared" si="40"/>
        <v>6130</v>
      </c>
      <c r="U12" s="21"/>
      <c r="V12" s="21"/>
      <c r="W12" s="21"/>
      <c r="X12" s="23">
        <f t="shared" si="41"/>
        <v>0</v>
      </c>
      <c r="Y12" s="22"/>
      <c r="Z12" s="24">
        <f t="shared" si="42"/>
        <v>39212.308817142839</v>
      </c>
      <c r="AA12" s="22">
        <f>'[8]Arc Results'!$I$15</f>
        <v>264</v>
      </c>
      <c r="AB12" s="22">
        <f>'[8]Arc Results'!$I$26</f>
        <v>264</v>
      </c>
      <c r="AC12" s="22">
        <f>'[8]Arc Results'!$I$48</f>
        <v>1003.2277992277992</v>
      </c>
      <c r="AD12" s="22">
        <f>'[8]Arc Results'!$I$59</f>
        <v>1244.6370656370657</v>
      </c>
      <c r="AE12" s="22">
        <f>'[8]Arc Results'!$I$114</f>
        <v>263.56370656370655</v>
      </c>
      <c r="AF12" s="22">
        <f>'[8]Arc Results'!$I$125</f>
        <v>289.0849420849421</v>
      </c>
      <c r="AG12" s="22">
        <f>'[8]Arc Results'!$I$147</f>
        <v>2745</v>
      </c>
      <c r="AH12" s="22">
        <f>'[8]Arc Results'!$I$158</f>
        <v>2745</v>
      </c>
      <c r="AI12" s="22">
        <f>'[8]Arc Results'!$I$213</f>
        <v>4848.1081081081084</v>
      </c>
      <c r="AJ12" s="22">
        <f>'[8]Arc Results'!$I$224</f>
        <v>5130.8108108108108</v>
      </c>
      <c r="AK12" s="22">
        <f>'[8]Arc Results'!$I$180</f>
        <v>3063</v>
      </c>
      <c r="AL12" s="22">
        <f>'[8]Arc Results'!$I$191</f>
        <v>3067</v>
      </c>
      <c r="AM12" s="22">
        <f>'[8]Arc Results'!$I$81</f>
        <v>3767.0646718146718</v>
      </c>
      <c r="AN12" s="22">
        <f>'[8]Arc Results'!$I$92</f>
        <v>4352.152055752892</v>
      </c>
      <c r="AP12" s="9">
        <f t="shared" si="26"/>
        <v>1</v>
      </c>
      <c r="AQ12" s="9">
        <f t="shared" si="27"/>
        <v>1.1073949195890738</v>
      </c>
      <c r="AR12" s="9">
        <f t="shared" si="28"/>
        <v>1.0461798569192935</v>
      </c>
      <c r="AS12" s="9">
        <f t="shared" si="29"/>
        <v>1</v>
      </c>
      <c r="AT12" s="9">
        <f t="shared" si="30"/>
        <v>1.0283299929581278</v>
      </c>
      <c r="AU12" s="9">
        <f t="shared" si="31"/>
        <v>1.000652528548124</v>
      </c>
      <c r="AV12" s="9">
        <f t="shared" si="32"/>
        <v>1.0720620478021783</v>
      </c>
    </row>
    <row r="13" spans="1:48" ht="15.75">
      <c r="A13">
        <f t="shared" si="33"/>
        <v>9</v>
      </c>
      <c r="B13" s="9">
        <v>2020</v>
      </c>
      <c r="C13" s="9" t="s">
        <v>4</v>
      </c>
      <c r="D13" s="9" t="s">
        <v>5</v>
      </c>
      <c r="E13" s="7" t="s">
        <v>6</v>
      </c>
      <c r="F13" s="20" t="s">
        <v>83</v>
      </c>
      <c r="G13" s="7" t="s">
        <v>8</v>
      </c>
      <c r="H13" s="7" t="s">
        <v>9</v>
      </c>
      <c r="I13" s="9" t="s">
        <v>45</v>
      </c>
      <c r="J13" s="9">
        <v>500</v>
      </c>
      <c r="K13" s="9">
        <v>0.8</v>
      </c>
      <c r="L13" s="21">
        <f>'[9]Arc Results'!$I$10960+'[9]Arc Results'!$I$10971+'[9]Arc Results'!$I$10982+'[9]Arc Results'!$I$10993+'[9]Arc Results'!$I$11004+'[9]Arc Results'!$I$11015+'[9]Arc Results'!$I$11026+'[9]Arc Results'!$I$11037+'[9]Arc Results'!$I$11048+'[9]Arc Results'!$I$11059+'[9]Arc Results'!$I$11070+'[9]Arc Results'!$I$11081+'[9]Arc Results'!$I$11092+'[9]Arc Results'!$I$11103+'[9]Arc Results'!$I$11114+'[9]Arc Results'!$I$11125+'[9]Arc Results'!$I$11136+'[9]Arc Results'!$I$11147+'[9]Arc Results'!$I$11158+'[9]Arc Results'!$I$11169+'[9]Arc Results'!$I$11180+'[9]Arc Results'!$I$11191+'[9]Arc Results'!$I$11202+'[9]Arc Results'!$I$11213+'[9]Arc Results'!$I$11224+'[9]Arc Results'!$I$11235+'[9]Arc Results'!$I$11246+'[9]Arc Results'!$I$11257+'[9]Arc Results'!$I$11268</f>
        <v>4164.6632914800521</v>
      </c>
      <c r="M13" s="21">
        <f>'[9]Arc Results'!$I$257</f>
        <v>6165.6596571428699</v>
      </c>
      <c r="N13" s="21">
        <f t="shared" si="34"/>
        <v>5766.8581081081084</v>
      </c>
      <c r="O13" s="21">
        <f t="shared" si="35"/>
        <v>8058.8963963963961</v>
      </c>
      <c r="P13" s="22">
        <f t="shared" si="36"/>
        <v>9245.6775126383473</v>
      </c>
      <c r="Q13" s="22">
        <f t="shared" si="37"/>
        <v>2719.906332046332</v>
      </c>
      <c r="R13" s="22">
        <f t="shared" si="38"/>
        <v>597.31081081081084</v>
      </c>
      <c r="S13" s="22">
        <f t="shared" si="39"/>
        <v>528</v>
      </c>
      <c r="T13" s="22">
        <f t="shared" si="40"/>
        <v>6130</v>
      </c>
      <c r="U13" s="21"/>
      <c r="V13" s="21"/>
      <c r="W13" s="21"/>
      <c r="X13" s="23">
        <f t="shared" si="41"/>
        <v>0</v>
      </c>
      <c r="Y13" s="22"/>
      <c r="Z13" s="24">
        <f t="shared" si="42"/>
        <v>39212.308817142861</v>
      </c>
      <c r="AA13" s="22">
        <f>'[9]Arc Results'!$I$15</f>
        <v>264</v>
      </c>
      <c r="AB13" s="22">
        <f>'[9]Arc Results'!$I$26</f>
        <v>264</v>
      </c>
      <c r="AC13" s="22">
        <f>'[9]Arc Results'!$I$48</f>
        <v>1233.8600000000001</v>
      </c>
      <c r="AD13" s="22">
        <f>'[9]Arc Results'!$I$59</f>
        <v>1486.0463320463321</v>
      </c>
      <c r="AE13" s="22">
        <f>'[9]Arc Results'!$I$114</f>
        <v>282.70463320463318</v>
      </c>
      <c r="AF13" s="22">
        <f>'[9]Arc Results'!$I$125</f>
        <v>314.6061776061776</v>
      </c>
      <c r="AG13" s="22">
        <f>'[9]Arc Results'!$I$147</f>
        <v>2863.6534749034749</v>
      </c>
      <c r="AH13" s="22">
        <f>'[9]Arc Results'!$I$158</f>
        <v>2903.2046332046334</v>
      </c>
      <c r="AI13" s="22">
        <f>'[9]Arc Results'!$I$213</f>
        <v>4000</v>
      </c>
      <c r="AJ13" s="22">
        <f>'[9]Arc Results'!$I$224</f>
        <v>4058.8963963963965</v>
      </c>
      <c r="AK13" s="22">
        <f>'[9]Arc Results'!$I$180</f>
        <v>3063</v>
      </c>
      <c r="AL13" s="22">
        <f>'[9]Arc Results'!$I$191</f>
        <v>3067</v>
      </c>
      <c r="AM13" s="22">
        <f>'[9]Arc Results'!$I$81</f>
        <v>4316.1611033719391</v>
      </c>
      <c r="AN13" s="22">
        <f>'[9]Arc Results'!$I$92</f>
        <v>4929.516409266409</v>
      </c>
      <c r="AP13" s="9">
        <f t="shared" si="26"/>
        <v>1</v>
      </c>
      <c r="AQ13" s="9">
        <f t="shared" si="27"/>
        <v>1.0927187561847391</v>
      </c>
      <c r="AR13" s="9">
        <f t="shared" si="28"/>
        <v>1.0534086171288948</v>
      </c>
      <c r="AS13" s="9">
        <f t="shared" si="29"/>
        <v>1.0068583546811305</v>
      </c>
      <c r="AT13" s="9">
        <f t="shared" si="30"/>
        <v>1.0073082458812515</v>
      </c>
      <c r="AU13" s="9">
        <f t="shared" si="31"/>
        <v>1.000652528548124</v>
      </c>
      <c r="AV13" s="9">
        <f t="shared" si="32"/>
        <v>1.0663396819817743</v>
      </c>
    </row>
    <row r="14" spans="1:48" ht="15.75">
      <c r="A14">
        <f t="shared" si="33"/>
        <v>10</v>
      </c>
      <c r="B14" s="9">
        <v>2020</v>
      </c>
      <c r="C14" s="9" t="s">
        <v>4</v>
      </c>
      <c r="D14" s="9" t="s">
        <v>5</v>
      </c>
      <c r="E14" s="7" t="s">
        <v>6</v>
      </c>
      <c r="F14" s="20" t="s">
        <v>84</v>
      </c>
      <c r="G14" s="7" t="s">
        <v>8</v>
      </c>
      <c r="H14" s="7" t="s">
        <v>9</v>
      </c>
      <c r="I14" s="9" t="s">
        <v>45</v>
      </c>
      <c r="J14" s="9">
        <v>500</v>
      </c>
      <c r="K14" s="9">
        <v>0.8</v>
      </c>
      <c r="L14" s="25">
        <f>'[10]Arc Results'!$I$10960+'[10]Arc Results'!$I$10971+'[10]Arc Results'!$I$10982+'[10]Arc Results'!$I$10993+'[10]Arc Results'!$I$11004+'[10]Arc Results'!$I$11015+'[10]Arc Results'!$I$11026+'[10]Arc Results'!$I$11037+'[10]Arc Results'!$I$11048+'[10]Arc Results'!$I$11059+'[10]Arc Results'!$I$11070+'[10]Arc Results'!$I$11081+'[10]Arc Results'!$I$11092+'[10]Arc Results'!$I$11103+'[10]Arc Results'!$I$11114+'[10]Arc Results'!$I$11125+'[10]Arc Results'!$I$11136+'[10]Arc Results'!$I$11147+'[10]Arc Results'!$I$11158+'[10]Arc Results'!$I$11169+'[10]Arc Results'!$I$11180+'[10]Arc Results'!$I$11191+'[10]Arc Results'!$I$11202+'[10]Arc Results'!$I$11213+'[10]Arc Results'!$I$11224+'[10]Arc Results'!$I$11235+'[10]Arc Results'!$I$11246+'[10]Arc Results'!$I$11257+'[10]Arc Results'!$I$11268</f>
        <v>3564.5676707335988</v>
      </c>
      <c r="M14" s="21">
        <f>'[10]Arc Results'!$I$257</f>
        <v>6165.6596571428636</v>
      </c>
      <c r="N14" s="21">
        <f t="shared" si="34"/>
        <v>6124.0000000000036</v>
      </c>
      <c r="O14" s="26">
        <f t="shared" si="35"/>
        <v>11504.000000000007</v>
      </c>
      <c r="P14" s="25">
        <f t="shared" si="36"/>
        <v>4979.479275830101</v>
      </c>
      <c r="Q14" s="22">
        <f t="shared" si="37"/>
        <v>3136.6440154440156</v>
      </c>
      <c r="R14" s="22">
        <f t="shared" si="38"/>
        <v>644.5258687258688</v>
      </c>
      <c r="S14" s="22">
        <f t="shared" si="39"/>
        <v>528</v>
      </c>
      <c r="T14" s="22">
        <f t="shared" si="40"/>
        <v>6130</v>
      </c>
      <c r="U14" s="21"/>
      <c r="V14" s="21"/>
      <c r="W14" s="21"/>
      <c r="X14" s="23">
        <f t="shared" si="41"/>
        <v>0</v>
      </c>
      <c r="Y14" s="22"/>
      <c r="Z14" s="24">
        <f t="shared" si="42"/>
        <v>39212.308817142861</v>
      </c>
      <c r="AA14" s="22">
        <f>'[10]Arc Results'!$I$15</f>
        <v>264</v>
      </c>
      <c r="AB14" s="22">
        <f>'[10]Arc Results'!$I$26</f>
        <v>264</v>
      </c>
      <c r="AC14" s="22">
        <f>'[10]Arc Results'!$I$48</f>
        <v>1425.6940154440153</v>
      </c>
      <c r="AD14" s="22">
        <f>'[10]Arc Results'!$I$59</f>
        <v>1710.9500000000003</v>
      </c>
      <c r="AE14" s="22">
        <f>'[10]Arc Results'!$I$114</f>
        <v>308.22586872586874</v>
      </c>
      <c r="AF14" s="22">
        <f>'[10]Arc Results'!$I$125</f>
        <v>336.3</v>
      </c>
      <c r="AG14" s="22">
        <f>'[10]Arc Results'!$I$147</f>
        <v>2871.5637065637065</v>
      </c>
      <c r="AH14" s="22">
        <f>'[10]Arc Results'!$I$158</f>
        <v>3252.4362934362975</v>
      </c>
      <c r="AI14" s="22">
        <f>'[10]Arc Results'!$I$213</f>
        <v>5176.8000000000065</v>
      </c>
      <c r="AJ14" s="22">
        <f>'[10]Arc Results'!$I$224</f>
        <v>6327.2000000000007</v>
      </c>
      <c r="AK14" s="22">
        <f>'[10]Arc Results'!$I$180</f>
        <v>3063</v>
      </c>
      <c r="AL14" s="22">
        <f>'[10]Arc Results'!$I$191</f>
        <v>3067</v>
      </c>
      <c r="AM14" s="22">
        <f>'[10]Arc Results'!$I$81</f>
        <v>2314</v>
      </c>
      <c r="AN14" s="22">
        <f>'[10]Arc Results'!$I$92</f>
        <v>2665.4792758301014</v>
      </c>
      <c r="AP14" s="9">
        <f t="shared" si="26"/>
        <v>1</v>
      </c>
      <c r="AQ14" s="9">
        <f t="shared" si="27"/>
        <v>1.0909430535156235</v>
      </c>
      <c r="AR14" s="9">
        <f t="shared" si="28"/>
        <v>1.0435578037071338</v>
      </c>
      <c r="AS14" s="9">
        <f t="shared" si="29"/>
        <v>1.062193433519365</v>
      </c>
      <c r="AT14" s="9">
        <f t="shared" si="30"/>
        <v>1.0999999999999994</v>
      </c>
      <c r="AU14" s="9">
        <f t="shared" si="31"/>
        <v>1.000652528548124</v>
      </c>
      <c r="AV14" s="9">
        <f t="shared" si="32"/>
        <v>1.070585548480169</v>
      </c>
    </row>
    <row r="15" spans="1:48" ht="15.75">
      <c r="A15">
        <f t="shared" si="33"/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20" t="s">
        <v>85</v>
      </c>
      <c r="G15" s="7" t="s">
        <v>8</v>
      </c>
      <c r="H15" s="7" t="s">
        <v>9</v>
      </c>
      <c r="I15" s="9" t="s">
        <v>45</v>
      </c>
      <c r="J15" s="9">
        <v>500</v>
      </c>
      <c r="K15" s="9">
        <v>0.8</v>
      </c>
      <c r="L15" s="21">
        <f>'[11]Arc Results'!$I$10960+'[11]Arc Results'!$I$10971+'[11]Arc Results'!$I$10982+'[11]Arc Results'!$I$10993+'[11]Arc Results'!$I$11004+'[11]Arc Results'!$I$11015+'[11]Arc Results'!$I$11026+'[11]Arc Results'!$I$11037+'[11]Arc Results'!$I$11048+'[11]Arc Results'!$I$11059+'[11]Arc Results'!$I$11070+'[11]Arc Results'!$I$11081+'[11]Arc Results'!$I$11092+'[11]Arc Results'!$I$11103+'[11]Arc Results'!$I$11114+'[11]Arc Results'!$I$11125+'[11]Arc Results'!$I$11136+'[11]Arc Results'!$I$11147+'[11]Arc Results'!$I$11158+'[11]Arc Results'!$I$11169+'[11]Arc Results'!$I$11180+'[11]Arc Results'!$I$11191+'[11]Arc Results'!$I$11202+'[11]Arc Results'!$I$11213+'[11]Arc Results'!$I$11224+'[11]Arc Results'!$I$11235+'[11]Arc Results'!$I$11246+'[11]Arc Results'!$I$11257+'[11]Arc Results'!$I$11268</f>
        <v>3945.9211743629344</v>
      </c>
      <c r="M15" s="21">
        <f>'[11]Arc Results'!$I$257</f>
        <v>6165.6596571428636</v>
      </c>
      <c r="N15" s="21">
        <f t="shared" si="34"/>
        <v>5719.3967181467178</v>
      </c>
      <c r="O15" s="21">
        <f t="shared" si="35"/>
        <v>10049.594594594595</v>
      </c>
      <c r="P15" s="22">
        <f t="shared" si="36"/>
        <v>8260.661679536679</v>
      </c>
      <c r="Q15" s="22">
        <f t="shared" si="37"/>
        <v>2327.9672101930487</v>
      </c>
      <c r="R15" s="22">
        <f t="shared" si="38"/>
        <v>559.02895752895756</v>
      </c>
      <c r="S15" s="22">
        <f t="shared" si="39"/>
        <v>0</v>
      </c>
      <c r="T15" s="22">
        <f t="shared" si="40"/>
        <v>6130</v>
      </c>
      <c r="U15" s="21"/>
      <c r="V15" s="21"/>
      <c r="W15" s="21"/>
      <c r="X15" s="23">
        <f t="shared" si="41"/>
        <v>0</v>
      </c>
      <c r="Y15" s="22"/>
      <c r="Z15" s="24">
        <f t="shared" si="42"/>
        <v>39212.308817142861</v>
      </c>
      <c r="AA15" s="22">
        <f>'[11]Arc Results'!$I$15</f>
        <v>0</v>
      </c>
      <c r="AB15" s="22">
        <f>'[11]Arc Results'!$I$26</f>
        <v>0</v>
      </c>
      <c r="AC15" s="22">
        <f>'[11]Arc Results'!$I$48</f>
        <v>1022.9778279536665</v>
      </c>
      <c r="AD15" s="22">
        <f>'[11]Arc Results'!$I$59</f>
        <v>1304.9893822393822</v>
      </c>
      <c r="AE15" s="22">
        <f>'[11]Arc Results'!$I$114</f>
        <v>263.56370656370655</v>
      </c>
      <c r="AF15" s="22">
        <f>'[11]Arc Results'!$I$125</f>
        <v>295.46525096525096</v>
      </c>
      <c r="AG15" s="22">
        <f>'[11]Arc Results'!$I$147</f>
        <v>2839.9227799227801</v>
      </c>
      <c r="AH15" s="22">
        <f>'[11]Arc Results'!$I$158</f>
        <v>2879.4739382239381</v>
      </c>
      <c r="AI15" s="22">
        <f>'[11]Arc Results'!$I$213</f>
        <v>4848.1081081081084</v>
      </c>
      <c r="AJ15" s="22">
        <f>'[11]Arc Results'!$I$224</f>
        <v>5201.4864864864867</v>
      </c>
      <c r="AK15" s="22">
        <f>'[11]Arc Results'!$I$180</f>
        <v>3063</v>
      </c>
      <c r="AL15" s="22">
        <f>'[11]Arc Results'!$I$191</f>
        <v>3067</v>
      </c>
      <c r="AM15" s="22">
        <f>'[11]Arc Results'!$I$81</f>
        <v>3767.0646718146718</v>
      </c>
      <c r="AN15" s="22">
        <f>'[11]Arc Results'!$I$92</f>
        <v>4493.5970077220072</v>
      </c>
      <c r="AP15" s="9" t="e">
        <f t="shared" si="26"/>
        <v>#DIV/0!</v>
      </c>
      <c r="AQ15" s="9">
        <f t="shared" si="27"/>
        <v>1.1211406900625245</v>
      </c>
      <c r="AR15" s="9">
        <f t="shared" si="28"/>
        <v>1.0570659962635154</v>
      </c>
      <c r="AS15" s="9">
        <f t="shared" si="29"/>
        <v>1.0069152675098878</v>
      </c>
      <c r="AT15" s="9">
        <f t="shared" si="30"/>
        <v>1.0351634461521912</v>
      </c>
      <c r="AU15" s="9">
        <f t="shared" si="31"/>
        <v>1.000652528548124</v>
      </c>
      <c r="AV15" s="9">
        <f t="shared" si="32"/>
        <v>1.0879508644818492</v>
      </c>
    </row>
    <row r="16" spans="1:48" ht="15.75">
      <c r="A16">
        <f t="shared" si="33"/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20" t="s">
        <v>86</v>
      </c>
      <c r="G16" s="7" t="s">
        <v>8</v>
      </c>
      <c r="H16" s="7" t="s">
        <v>9</v>
      </c>
      <c r="I16" s="9" t="s">
        <v>45</v>
      </c>
      <c r="J16" s="9">
        <v>500</v>
      </c>
      <c r="K16" s="9">
        <v>0.8</v>
      </c>
      <c r="L16" s="21">
        <f>'[12]Arc Results'!$I$10960+'[12]Arc Results'!$I$10971+'[12]Arc Results'!$I$10982+'[12]Arc Results'!$I$10993+'[12]Arc Results'!$I$11004+'[12]Arc Results'!$I$11015+'[12]Arc Results'!$I$11026+'[12]Arc Results'!$I$11037+'[12]Arc Results'!$I$11048+'[12]Arc Results'!$I$11059+'[12]Arc Results'!$I$11070+'[12]Arc Results'!$I$11081+'[12]Arc Results'!$I$11092+'[12]Arc Results'!$I$11103+'[12]Arc Results'!$I$11114+'[12]Arc Results'!$I$11125+'[12]Arc Results'!$I$11136+'[12]Arc Results'!$I$11147+'[12]Arc Results'!$I$11158+'[12]Arc Results'!$I$11169+'[12]Arc Results'!$I$11180+'[12]Arc Results'!$I$11191+'[12]Arc Results'!$I$11202+'[12]Arc Results'!$I$11213+'[12]Arc Results'!$I$11224+'[12]Arc Results'!$I$11235+'[12]Arc Results'!$I$11246+'[12]Arc Results'!$I$11257+'[12]Arc Results'!$I$11268</f>
        <v>4156.7613966023191</v>
      </c>
      <c r="M16" s="21">
        <f>'[12]Arc Results'!$I$257</f>
        <v>6165.6596571428454</v>
      </c>
      <c r="N16" s="21">
        <f t="shared" si="34"/>
        <v>5758.9478764478772</v>
      </c>
      <c r="O16" s="21">
        <f t="shared" si="35"/>
        <v>10402.972972972973</v>
      </c>
      <c r="P16" s="22">
        <f t="shared" si="36"/>
        <v>9027.5042114800526</v>
      </c>
      <c r="Q16" s="22">
        <f t="shared" si="37"/>
        <v>608.29359716859722</v>
      </c>
      <c r="R16" s="22">
        <f t="shared" si="38"/>
        <v>590.93050193050192</v>
      </c>
      <c r="S16" s="22">
        <f t="shared" si="39"/>
        <v>528</v>
      </c>
      <c r="T16" s="22">
        <f t="shared" si="40"/>
        <v>6130</v>
      </c>
      <c r="U16" s="21"/>
      <c r="V16" s="21"/>
      <c r="W16" s="21"/>
      <c r="X16" s="23">
        <f t="shared" si="41"/>
        <v>0</v>
      </c>
      <c r="Y16" s="22"/>
      <c r="Z16" s="24">
        <f t="shared" si="42"/>
        <v>39212.308817142854</v>
      </c>
      <c r="AA16" s="22">
        <f>'[12]Arc Results'!$I$15</f>
        <v>264</v>
      </c>
      <c r="AB16" s="22">
        <f>'[12]Arc Results'!$I$26</f>
        <v>264</v>
      </c>
      <c r="AC16" s="22">
        <f>'[12]Arc Results'!$I$48</f>
        <v>279</v>
      </c>
      <c r="AD16" s="22">
        <f>'[12]Arc Results'!$I$59</f>
        <v>329.29359716859716</v>
      </c>
      <c r="AE16" s="22">
        <f>'[12]Arc Results'!$I$114</f>
        <v>282.70463320463318</v>
      </c>
      <c r="AF16" s="22">
        <f>'[12]Arc Results'!$I$125</f>
        <v>308.22586872586874</v>
      </c>
      <c r="AG16" s="22">
        <f>'[12]Arc Results'!$I$147</f>
        <v>2863.6534749034749</v>
      </c>
      <c r="AH16" s="22">
        <f>'[12]Arc Results'!$I$158</f>
        <v>2895.2944015444018</v>
      </c>
      <c r="AI16" s="22">
        <f>'[12]Arc Results'!$I$213</f>
        <v>5060.135135135135</v>
      </c>
      <c r="AJ16" s="22">
        <f>'[12]Arc Results'!$I$224</f>
        <v>5342.8378378378375</v>
      </c>
      <c r="AK16" s="22">
        <f>'[12]Arc Results'!$I$180</f>
        <v>3063</v>
      </c>
      <c r="AL16" s="22">
        <f>'[12]Arc Results'!$I$191</f>
        <v>3067</v>
      </c>
      <c r="AM16" s="22">
        <f>'[12]Arc Results'!$I$81</f>
        <v>4202.9840733590736</v>
      </c>
      <c r="AN16" s="22">
        <f>'[12]Arc Results'!$I$92</f>
        <v>4824.520138120979</v>
      </c>
      <c r="AP16" s="9">
        <f t="shared" si="26"/>
        <v>1</v>
      </c>
      <c r="AQ16" s="9">
        <f t="shared" si="27"/>
        <v>1.0826798069266172</v>
      </c>
      <c r="AR16" s="9">
        <f t="shared" si="28"/>
        <v>1.0431882183063161</v>
      </c>
      <c r="AS16" s="9">
        <f t="shared" si="29"/>
        <v>1.0054942200068049</v>
      </c>
      <c r="AT16" s="9">
        <f t="shared" si="30"/>
        <v>1.027175183809202</v>
      </c>
      <c r="AU16" s="9">
        <f t="shared" si="31"/>
        <v>1.000652528548124</v>
      </c>
      <c r="AV16" s="9">
        <f t="shared" si="32"/>
        <v>1.0688491581063473</v>
      </c>
    </row>
    <row r="17" spans="1:48" ht="15.75">
      <c r="A17">
        <f t="shared" si="33"/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20" t="s">
        <v>87</v>
      </c>
      <c r="G17" s="7" t="s">
        <v>8</v>
      </c>
      <c r="H17" s="7" t="s">
        <v>9</v>
      </c>
      <c r="I17" s="9" t="s">
        <v>45</v>
      </c>
      <c r="J17" s="9">
        <v>500</v>
      </c>
      <c r="K17" s="9">
        <v>0.8</v>
      </c>
      <c r="L17" s="21">
        <f>'[13]Arc Results'!$I$10960+'[13]Arc Results'!$I$10971+'[13]Arc Results'!$I$10982+'[13]Arc Results'!$I$10993+'[13]Arc Results'!$I$11004+'[13]Arc Results'!$I$11015+'[13]Arc Results'!$I$11026+'[13]Arc Results'!$I$11037+'[13]Arc Results'!$I$11048+'[13]Arc Results'!$I$11059+'[13]Arc Results'!$I$11070+'[13]Arc Results'!$I$11081+'[13]Arc Results'!$I$11092+'[13]Arc Results'!$I$11103+'[13]Arc Results'!$I$11114+'[13]Arc Results'!$I$11125+'[13]Arc Results'!$I$11136+'[13]Arc Results'!$I$11147+'[13]Arc Results'!$I$11158+'[13]Arc Results'!$I$11169+'[13]Arc Results'!$I$11180+'[13]Arc Results'!$I$11191+'[13]Arc Results'!$I$11202+'[13]Arc Results'!$I$11213+'[13]Arc Results'!$I$11224+'[13]Arc Results'!$I$11235+'[13]Arc Results'!$I$11246+'[13]Arc Results'!$I$11257+'[13]Arc Results'!$I$11268</f>
        <v>4074.6311164478766</v>
      </c>
      <c r="M17" s="21">
        <f>'[13]Arc Results'!$I$257</f>
        <v>6165.6596571428718</v>
      </c>
      <c r="N17" s="21">
        <f t="shared" si="34"/>
        <v>5711.4864864864867</v>
      </c>
      <c r="O17" s="21">
        <f t="shared" si="35"/>
        <v>9949.7534071042428</v>
      </c>
      <c r="P17" s="22">
        <f t="shared" si="36"/>
        <v>8115.3552123552117</v>
      </c>
      <c r="Q17" s="22">
        <f t="shared" si="37"/>
        <v>2247.864864864865</v>
      </c>
      <c r="R17" s="22">
        <f t="shared" si="38"/>
        <v>374.00000000000045</v>
      </c>
      <c r="S17" s="22">
        <f t="shared" si="39"/>
        <v>518.18918918918916</v>
      </c>
      <c r="T17" s="22">
        <f t="shared" si="40"/>
        <v>6130</v>
      </c>
      <c r="U17" s="21"/>
      <c r="V17" s="21"/>
      <c r="W17" s="21"/>
      <c r="X17" s="23">
        <f t="shared" si="41"/>
        <v>0</v>
      </c>
      <c r="Y17" s="22"/>
      <c r="Z17" s="24">
        <f t="shared" si="42"/>
        <v>39212.308817142861</v>
      </c>
      <c r="AA17" s="22">
        <f>'[13]Arc Results'!$I$15</f>
        <v>254.18918918918914</v>
      </c>
      <c r="AB17" s="22">
        <f>'[13]Arc Results'!$I$26</f>
        <v>264</v>
      </c>
      <c r="AC17" s="22">
        <f>'[13]Arc Results'!$I$48</f>
        <v>1003.2277992277992</v>
      </c>
      <c r="AD17" s="22">
        <f>'[13]Arc Results'!$I$59</f>
        <v>1244.6370656370657</v>
      </c>
      <c r="AE17" s="22">
        <f>'[13]Arc Results'!$I$114</f>
        <v>187</v>
      </c>
      <c r="AF17" s="22">
        <f>'[13]Arc Results'!$I$125</f>
        <v>187.00000000000048</v>
      </c>
      <c r="AG17" s="22">
        <f>'[13]Arc Results'!$I$147</f>
        <v>2839.9227799227801</v>
      </c>
      <c r="AH17" s="22">
        <f>'[13]Arc Results'!$I$158</f>
        <v>2871.5637065637065</v>
      </c>
      <c r="AI17" s="22">
        <f>'[13]Arc Results'!$I$213</f>
        <v>4818.9425962934329</v>
      </c>
      <c r="AJ17" s="22">
        <f>'[13]Arc Results'!$I$224</f>
        <v>5130.8108108108108</v>
      </c>
      <c r="AK17" s="22">
        <f>'[13]Arc Results'!$I$180</f>
        <v>3063</v>
      </c>
      <c r="AL17" s="22">
        <f>'[13]Arc Results'!$I$191</f>
        <v>3067</v>
      </c>
      <c r="AM17" s="22">
        <f>'[13]Arc Results'!$I$81</f>
        <v>3767.0646718146718</v>
      </c>
      <c r="AN17" s="22">
        <f>'[13]Arc Results'!$I$92</f>
        <v>4348.29054054054</v>
      </c>
      <c r="AP17" s="9">
        <f t="shared" si="26"/>
        <v>1.0189328743545611</v>
      </c>
      <c r="AQ17" s="9">
        <f t="shared" si="27"/>
        <v>1.1073949195890738</v>
      </c>
      <c r="AR17" s="9">
        <f t="shared" si="28"/>
        <v>1.0000000000000013</v>
      </c>
      <c r="AS17" s="9">
        <f t="shared" si="29"/>
        <v>1.0055398759527472</v>
      </c>
      <c r="AT17" s="9">
        <f t="shared" si="30"/>
        <v>1.0313443159601021</v>
      </c>
      <c r="AU17" s="9">
        <f t="shared" si="31"/>
        <v>1.000652528548124</v>
      </c>
      <c r="AV17" s="9">
        <f t="shared" si="32"/>
        <v>1.0716205087167328</v>
      </c>
    </row>
    <row r="18" spans="1:48" ht="15.75">
      <c r="A18">
        <f t="shared" si="33"/>
        <v>14</v>
      </c>
      <c r="B18" s="9">
        <v>2020</v>
      </c>
      <c r="C18" s="9" t="s">
        <v>4</v>
      </c>
      <c r="D18" s="9" t="s">
        <v>88</v>
      </c>
      <c r="E18" s="7" t="s">
        <v>6</v>
      </c>
      <c r="F18" s="20" t="s">
        <v>7</v>
      </c>
      <c r="G18" s="7" t="s">
        <v>8</v>
      </c>
      <c r="H18" s="7" t="s">
        <v>9</v>
      </c>
      <c r="I18" s="9" t="s">
        <v>45</v>
      </c>
      <c r="J18" s="9">
        <v>500</v>
      </c>
      <c r="K18" s="9">
        <v>0.8</v>
      </c>
      <c r="L18" s="21">
        <f>'[14]Arc Results'!$I$10960+'[14]Arc Results'!$I$10971+'[14]Arc Results'!$I$10982+'[14]Arc Results'!$I$10993+'[14]Arc Results'!$I$11004+'[14]Arc Results'!$I$11015+'[14]Arc Results'!$I$11026+'[14]Arc Results'!$I$11037+'[14]Arc Results'!$I$11048+'[14]Arc Results'!$I$11059+'[14]Arc Results'!$I$11070+'[14]Arc Results'!$I$11081+'[14]Arc Results'!$I$11092+'[14]Arc Results'!$I$11103+'[14]Arc Results'!$I$11114+'[14]Arc Results'!$I$11125+'[14]Arc Results'!$I$11136+'[14]Arc Results'!$I$11147+'[14]Arc Results'!$I$11158+'[14]Arc Results'!$I$11169+'[14]Arc Results'!$I$11180+'[14]Arc Results'!$I$11191+'[14]Arc Results'!$I$11202+'[14]Arc Results'!$I$11213+'[14]Arc Results'!$I$11224+'[14]Arc Results'!$I$11235+'[14]Arc Results'!$I$11246+'[14]Arc Results'!$I$11257+'[14]Arc Results'!$I$11268</f>
        <v>3213.2049528700913</v>
      </c>
      <c r="M18" s="21">
        <f>'[14]Arc Results'!$I$257</f>
        <v>14299.710171428573</v>
      </c>
      <c r="N18" s="21">
        <f t="shared" si="34"/>
        <v>5582.843655589124</v>
      </c>
      <c r="O18" s="21">
        <f t="shared" si="35"/>
        <v>8829.5317220543802</v>
      </c>
      <c r="P18" s="22">
        <f t="shared" si="36"/>
        <v>5940.7328815709952</v>
      </c>
      <c r="Q18" s="22">
        <f t="shared" si="37"/>
        <v>1313.5891238670695</v>
      </c>
      <c r="R18" s="22">
        <f t="shared" si="38"/>
        <v>448.88670694864049</v>
      </c>
      <c r="S18" s="22">
        <f t="shared" si="39"/>
        <v>286.41570996978851</v>
      </c>
      <c r="T18" s="22">
        <f t="shared" si="40"/>
        <v>6130</v>
      </c>
      <c r="U18" s="21"/>
      <c r="V18" s="21"/>
      <c r="W18" s="21"/>
      <c r="X18" s="23">
        <f t="shared" si="41"/>
        <v>0</v>
      </c>
      <c r="Y18" s="22"/>
      <c r="Z18" s="24">
        <f t="shared" si="42"/>
        <v>42831.709971428572</v>
      </c>
      <c r="AA18" s="22">
        <f>'[14]Arc Results'!$I$15</f>
        <v>105.6</v>
      </c>
      <c r="AB18" s="22">
        <f>'[14]Arc Results'!$I$26</f>
        <v>180.81570996978851</v>
      </c>
      <c r="AC18" s="22">
        <f>'[14]Arc Results'!$I$48</f>
        <v>562.34592145015108</v>
      </c>
      <c r="AD18" s="22">
        <f>'[14]Arc Results'!$I$59</f>
        <v>751.24320241691839</v>
      </c>
      <c r="AE18" s="22">
        <f>'[14]Arc Results'!$I$114</f>
        <v>211.96223564954681</v>
      </c>
      <c r="AF18" s="22">
        <f>'[14]Arc Results'!$I$125</f>
        <v>236.92447129909365</v>
      </c>
      <c r="AG18" s="22">
        <f>'[14]Arc Results'!$I$147</f>
        <v>2775.9478851963745</v>
      </c>
      <c r="AH18" s="22">
        <f>'[14]Arc Results'!$I$158</f>
        <v>2806.8957703927495</v>
      </c>
      <c r="AI18" s="22">
        <f>'[14]Arc Results'!$I$213</f>
        <v>4276.510574018127</v>
      </c>
      <c r="AJ18" s="22">
        <f>'[14]Arc Results'!$I$224</f>
        <v>4553.0211480362541</v>
      </c>
      <c r="AK18" s="22">
        <f>'[14]Arc Results'!$I$180</f>
        <v>3063</v>
      </c>
      <c r="AL18" s="22">
        <f>'[14]Arc Results'!$I$191</f>
        <v>3066.9999999999995</v>
      </c>
      <c r="AM18" s="22">
        <f>'[14]Arc Results'!$I$81</f>
        <v>2717.1407365558898</v>
      </c>
      <c r="AN18" s="22">
        <f>'[14]Arc Results'!$I$92</f>
        <v>3223.5921450151059</v>
      </c>
      <c r="AP18" s="9">
        <f t="shared" si="26"/>
        <v>1.2626102806222548</v>
      </c>
      <c r="AQ18" s="9">
        <f t="shared" si="27"/>
        <v>1.1438024093947075</v>
      </c>
      <c r="AR18" s="9">
        <f t="shared" si="28"/>
        <v>1.0556092111063624</v>
      </c>
      <c r="AS18" s="9">
        <f t="shared" si="29"/>
        <v>1.0055433909859526</v>
      </c>
      <c r="AT18" s="9">
        <f t="shared" si="30"/>
        <v>1.0313165615938</v>
      </c>
      <c r="AU18" s="9">
        <f t="shared" si="31"/>
        <v>1.0006525285481238</v>
      </c>
      <c r="AV18" s="9">
        <f t="shared" si="32"/>
        <v>1.0852506615859301</v>
      </c>
    </row>
    <row r="19" spans="1:48" ht="15.75">
      <c r="A19">
        <f t="shared" si="33"/>
        <v>15</v>
      </c>
      <c r="B19" s="9">
        <v>2020</v>
      </c>
      <c r="C19" s="9" t="s">
        <v>4</v>
      </c>
      <c r="D19" s="9" t="s">
        <v>88</v>
      </c>
      <c r="E19" s="7" t="s">
        <v>6</v>
      </c>
      <c r="F19" s="20" t="s">
        <v>76</v>
      </c>
      <c r="G19" s="7" t="s">
        <v>8</v>
      </c>
      <c r="H19" s="7" t="s">
        <v>9</v>
      </c>
      <c r="I19" s="9" t="s">
        <v>45</v>
      </c>
      <c r="J19" s="9">
        <v>500</v>
      </c>
      <c r="K19" s="9">
        <v>0.8</v>
      </c>
      <c r="L19" s="21">
        <f>'[15]Arc Results'!$I$10960+'[15]Arc Results'!$I$10971+'[15]Arc Results'!$I$10982+'[15]Arc Results'!$I$10993+'[15]Arc Results'!$I$11004+'[15]Arc Results'!$I$11015+'[15]Arc Results'!$I$11026+'[15]Arc Results'!$I$11037+'[15]Arc Results'!$I$11048+'[15]Arc Results'!$I$11059+'[15]Arc Results'!$I$11070+'[15]Arc Results'!$I$11081+'[15]Arc Results'!$I$11092+'[15]Arc Results'!$I$11103+'[15]Arc Results'!$I$11114+'[15]Arc Results'!$I$11125+'[15]Arc Results'!$I$11136+'[15]Arc Results'!$I$11147+'[15]Arc Results'!$I$11158+'[15]Arc Results'!$I$11169+'[15]Arc Results'!$I$11180+'[15]Arc Results'!$I$11191+'[15]Arc Results'!$I$11202+'[15]Arc Results'!$I$11213+'[15]Arc Results'!$I$11224+'[15]Arc Results'!$I$11235+'[15]Arc Results'!$I$11246+'[15]Arc Results'!$I$11257+'[15]Arc Results'!$I$11268</f>
        <v>3011.9287066465276</v>
      </c>
      <c r="M19" s="21">
        <f>'[15]Arc Results'!$I$257</f>
        <v>14299.710171428567</v>
      </c>
      <c r="N19" s="21">
        <f t="shared" si="34"/>
        <v>6124</v>
      </c>
      <c r="O19" s="21">
        <f t="shared" si="35"/>
        <v>8718.9274924471283</v>
      </c>
      <c r="P19" s="22">
        <f t="shared" si="36"/>
        <v>5713.19390876133</v>
      </c>
      <c r="Q19" s="22">
        <f t="shared" si="37"/>
        <v>1171.9161631419938</v>
      </c>
      <c r="R19" s="22">
        <f t="shared" si="38"/>
        <v>438.90181268882174</v>
      </c>
      <c r="S19" s="22">
        <f t="shared" si="39"/>
        <v>235.06042296072508</v>
      </c>
      <c r="T19" s="22">
        <f t="shared" si="40"/>
        <v>6129.9999999999991</v>
      </c>
      <c r="U19" s="21"/>
      <c r="V19" s="21"/>
      <c r="W19" s="21"/>
      <c r="X19" s="23">
        <f t="shared" si="41"/>
        <v>0</v>
      </c>
      <c r="Y19" s="22"/>
      <c r="Z19" s="24">
        <f t="shared" si="42"/>
        <v>42831.709971428565</v>
      </c>
      <c r="AA19" s="22">
        <f>'[15]Arc Results'!$I$15</f>
        <v>72.326283987915403</v>
      </c>
      <c r="AB19" s="22">
        <f>'[15]Arc Results'!$I$26</f>
        <v>162.73413897280966</v>
      </c>
      <c r="AC19" s="22">
        <f>'[15]Arc Results'!$I$48</f>
        <v>467.89728096676737</v>
      </c>
      <c r="AD19" s="22">
        <f>'[15]Arc Results'!$I$59</f>
        <v>704.01888217522651</v>
      </c>
      <c r="AE19" s="22">
        <f>'[15]Arc Results'!$I$114</f>
        <v>206.96978851963746</v>
      </c>
      <c r="AF19" s="22">
        <f>'[15]Arc Results'!$I$125</f>
        <v>231.93202416918427</v>
      </c>
      <c r="AG19" s="22">
        <f>'[15]Arc Results'!$I$147</f>
        <v>2876.5285120845924</v>
      </c>
      <c r="AH19" s="22">
        <f>'[15]Arc Results'!$I$158</f>
        <v>3247.471487915408</v>
      </c>
      <c r="AI19" s="22">
        <f>'[15]Arc Results'!$I$213</f>
        <v>4221.2084592145011</v>
      </c>
      <c r="AJ19" s="22">
        <f>'[15]Arc Results'!$I$224</f>
        <v>4497.7190332326281</v>
      </c>
      <c r="AK19" s="22">
        <f>'[15]Arc Results'!$I$180</f>
        <v>3063</v>
      </c>
      <c r="AL19" s="22">
        <f>'[15]Arc Results'!$I$191</f>
        <v>3066.9999999999991</v>
      </c>
      <c r="AM19" s="22">
        <f>'[15]Arc Results'!$I$81</f>
        <v>2603.3007818731126</v>
      </c>
      <c r="AN19" s="22">
        <f>'[15]Arc Results'!$I$92</f>
        <v>3109.8931268882175</v>
      </c>
      <c r="AP19" s="9">
        <f t="shared" si="26"/>
        <v>1.3846153846153846</v>
      </c>
      <c r="AQ19" s="9">
        <f t="shared" si="27"/>
        <v>1.2014833557508071</v>
      </c>
      <c r="AR19" s="9">
        <f t="shared" si="28"/>
        <v>1.056874305204214</v>
      </c>
      <c r="AS19" s="9">
        <f t="shared" si="29"/>
        <v>1.060572007810388</v>
      </c>
      <c r="AT19" s="9">
        <f t="shared" si="30"/>
        <v>1.0317138288232881</v>
      </c>
      <c r="AU19" s="9">
        <f t="shared" si="31"/>
        <v>1.0006525285481238</v>
      </c>
      <c r="AV19" s="9">
        <f t="shared" si="32"/>
        <v>1.0886706023119979</v>
      </c>
    </row>
    <row r="20" spans="1:48" ht="15.75">
      <c r="A20">
        <f t="shared" si="33"/>
        <v>16</v>
      </c>
      <c r="B20" s="9">
        <v>2020</v>
      </c>
      <c r="C20" s="9" t="s">
        <v>4</v>
      </c>
      <c r="D20" s="9" t="s">
        <v>88</v>
      </c>
      <c r="E20" s="7" t="s">
        <v>6</v>
      </c>
      <c r="F20" s="20" t="s">
        <v>77</v>
      </c>
      <c r="G20" s="7" t="s">
        <v>8</v>
      </c>
      <c r="H20" s="7" t="s">
        <v>9</v>
      </c>
      <c r="I20" s="9" t="s">
        <v>45</v>
      </c>
      <c r="J20" s="9">
        <v>500</v>
      </c>
      <c r="K20" s="9">
        <v>0.8</v>
      </c>
      <c r="L20" s="21">
        <f>'[16]Arc Results'!$I$10960+'[16]Arc Results'!$I$10971+'[16]Arc Results'!$I$10982+'[16]Arc Results'!$I$10993+'[16]Arc Results'!$I$11004+'[16]Arc Results'!$I$11015+'[16]Arc Results'!$I$11026+'[16]Arc Results'!$I$11037+'[16]Arc Results'!$I$11048+'[16]Arc Results'!$I$11059+'[16]Arc Results'!$I$11070+'[16]Arc Results'!$I$11081+'[16]Arc Results'!$I$11092+'[16]Arc Results'!$I$11103+'[16]Arc Results'!$I$11114+'[16]Arc Results'!$I$11125+'[16]Arc Results'!$I$11136+'[16]Arc Results'!$I$11147+'[16]Arc Results'!$I$11158+'[16]Arc Results'!$I$11169+'[16]Arc Results'!$I$11180+'[16]Arc Results'!$I$11191+'[16]Arc Results'!$I$11202+'[16]Arc Results'!$I$11213+'[16]Arc Results'!$I$11224+'[16]Arc Results'!$I$11235+'[16]Arc Results'!$I$11246+'[16]Arc Results'!$I$11257+'[16]Arc Results'!$I$11268</f>
        <v>3263.8675395770429</v>
      </c>
      <c r="M20" s="21">
        <f>'[16]Arc Results'!$I$257</f>
        <v>14299.710171428575</v>
      </c>
      <c r="N20" s="21">
        <f t="shared" si="34"/>
        <v>5490</v>
      </c>
      <c r="O20" s="21">
        <f t="shared" si="35"/>
        <v>11355.999799999991</v>
      </c>
      <c r="P20" s="22">
        <f t="shared" si="36"/>
        <v>4628.0000000000073</v>
      </c>
      <c r="Q20" s="22">
        <f t="shared" si="37"/>
        <v>558</v>
      </c>
      <c r="R20" s="22">
        <f t="shared" si="38"/>
        <v>374</v>
      </c>
      <c r="S20" s="22">
        <f t="shared" si="39"/>
        <v>0</v>
      </c>
      <c r="T20" s="22">
        <f t="shared" si="40"/>
        <v>6126</v>
      </c>
      <c r="U20" s="21"/>
      <c r="V20" s="21"/>
      <c r="W20" s="21"/>
      <c r="X20" s="23">
        <f t="shared" si="41"/>
        <v>0</v>
      </c>
      <c r="Y20" s="22"/>
      <c r="Z20" s="24">
        <f t="shared" si="42"/>
        <v>42831.709971428572</v>
      </c>
      <c r="AA20" s="22">
        <f>'[16]Arc Results'!$I$15</f>
        <v>0</v>
      </c>
      <c r="AB20" s="22">
        <f>'[16]Arc Results'!$I$26</f>
        <v>0</v>
      </c>
      <c r="AC20" s="22">
        <f>'[16]Arc Results'!$I$48</f>
        <v>279</v>
      </c>
      <c r="AD20" s="22">
        <f>'[16]Arc Results'!$I$59</f>
        <v>279</v>
      </c>
      <c r="AE20" s="22">
        <f>'[16]Arc Results'!$I$114</f>
        <v>187</v>
      </c>
      <c r="AF20" s="22">
        <f>'[16]Arc Results'!$I$125</f>
        <v>187</v>
      </c>
      <c r="AG20" s="22">
        <f>'[16]Arc Results'!$I$147</f>
        <v>2745</v>
      </c>
      <c r="AH20" s="22">
        <f>'[16]Arc Results'!$I$158</f>
        <v>2745.0000000000005</v>
      </c>
      <c r="AI20" s="22">
        <f>'[16]Arc Results'!$I$213</f>
        <v>5175.1699395770393</v>
      </c>
      <c r="AJ20" s="22">
        <f>'[16]Arc Results'!$I$224</f>
        <v>6180.8298604229512</v>
      </c>
      <c r="AK20" s="22">
        <f>'[16]Arc Results'!$I$180</f>
        <v>3063</v>
      </c>
      <c r="AL20" s="22">
        <f>'[16]Arc Results'!$I$191</f>
        <v>3063</v>
      </c>
      <c r="AM20" s="22">
        <f>'[16]Arc Results'!$I$81</f>
        <v>2314</v>
      </c>
      <c r="AN20" s="22">
        <f>'[16]Arc Results'!$I$92</f>
        <v>2314.0000000000077</v>
      </c>
      <c r="AP20" s="9" t="e">
        <f t="shared" si="26"/>
        <v>#DIV/0!</v>
      </c>
      <c r="AQ20" s="9">
        <f t="shared" si="27"/>
        <v>1</v>
      </c>
      <c r="AR20" s="9">
        <f t="shared" si="28"/>
        <v>1</v>
      </c>
      <c r="AS20" s="9">
        <f t="shared" si="29"/>
        <v>1.0000000000000002</v>
      </c>
      <c r="AT20" s="9">
        <f t="shared" si="30"/>
        <v>1.0885575852903691</v>
      </c>
      <c r="AU20" s="9">
        <f t="shared" si="31"/>
        <v>1</v>
      </c>
      <c r="AV20" s="9">
        <f t="shared" si="32"/>
        <v>1.0000000000000018</v>
      </c>
    </row>
    <row r="21" spans="1:48" ht="15.75">
      <c r="A21">
        <f t="shared" si="33"/>
        <v>17</v>
      </c>
      <c r="B21" s="9">
        <v>2020</v>
      </c>
      <c r="C21" s="9" t="s">
        <v>4</v>
      </c>
      <c r="D21" s="9" t="s">
        <v>88</v>
      </c>
      <c r="E21" s="7" t="s">
        <v>6</v>
      </c>
      <c r="F21" s="20" t="s">
        <v>78</v>
      </c>
      <c r="G21" s="7" t="s">
        <v>8</v>
      </c>
      <c r="H21" s="7" t="s">
        <v>9</v>
      </c>
      <c r="I21" s="9" t="s">
        <v>45</v>
      </c>
      <c r="J21" s="9">
        <v>500</v>
      </c>
      <c r="K21" s="9">
        <v>0.8</v>
      </c>
      <c r="L21" s="21">
        <f>'[17]Arc Results'!$I$10960+'[17]Arc Results'!$I$10971+'[17]Arc Results'!$I$10982+'[17]Arc Results'!$I$10993+'[17]Arc Results'!$I$11004+'[17]Arc Results'!$I$11015+'[17]Arc Results'!$I$11026+'[17]Arc Results'!$I$11037+'[17]Arc Results'!$I$11048+'[17]Arc Results'!$I$11059+'[17]Arc Results'!$I$11070+'[17]Arc Results'!$I$11081+'[17]Arc Results'!$I$11092+'[17]Arc Results'!$I$11103+'[17]Arc Results'!$I$11114+'[17]Arc Results'!$I$11125+'[17]Arc Results'!$I$11136+'[17]Arc Results'!$I$11147+'[17]Arc Results'!$I$11158+'[17]Arc Results'!$I$11169+'[17]Arc Results'!$I$11180+'[17]Arc Results'!$I$11191+'[17]Arc Results'!$I$11202+'[17]Arc Results'!$I$11213+'[17]Arc Results'!$I$11224+'[17]Arc Results'!$I$11235+'[17]Arc Results'!$I$11246+'[17]Arc Results'!$I$11257+'[17]Arc Results'!$I$11268</f>
        <v>3454.9645827794552</v>
      </c>
      <c r="M21" s="21">
        <f>'[17]Arc Results'!$I$257</f>
        <v>14299.710171428555</v>
      </c>
      <c r="N21" s="21">
        <f t="shared" si="34"/>
        <v>5490</v>
      </c>
      <c r="O21" s="21">
        <f t="shared" si="35"/>
        <v>8000</v>
      </c>
      <c r="P21" s="22">
        <f t="shared" si="36"/>
        <v>7983.9997999999969</v>
      </c>
      <c r="Q21" s="22">
        <f t="shared" si="37"/>
        <v>558</v>
      </c>
      <c r="R21" s="22">
        <f t="shared" si="38"/>
        <v>374</v>
      </c>
      <c r="S21" s="22">
        <f t="shared" si="39"/>
        <v>0</v>
      </c>
      <c r="T21" s="22">
        <f t="shared" si="40"/>
        <v>6126.0000000000009</v>
      </c>
      <c r="U21" s="21"/>
      <c r="V21" s="21"/>
      <c r="W21" s="21"/>
      <c r="X21" s="23">
        <f t="shared" si="41"/>
        <v>0</v>
      </c>
      <c r="Y21" s="22"/>
      <c r="Z21" s="24">
        <f t="shared" si="42"/>
        <v>42831.70997142855</v>
      </c>
      <c r="AA21" s="22">
        <f>'[17]Arc Results'!$I$15</f>
        <v>0</v>
      </c>
      <c r="AB21" s="22">
        <f>'[17]Arc Results'!$I$26</f>
        <v>0</v>
      </c>
      <c r="AC21" s="22">
        <f>'[17]Arc Results'!$I$48</f>
        <v>279</v>
      </c>
      <c r="AD21" s="22">
        <f>'[17]Arc Results'!$I$59</f>
        <v>279</v>
      </c>
      <c r="AE21" s="22">
        <f>'[17]Arc Results'!$I$114</f>
        <v>187</v>
      </c>
      <c r="AF21" s="22">
        <f>'[17]Arc Results'!$I$125</f>
        <v>187</v>
      </c>
      <c r="AG21" s="22">
        <f>'[17]Arc Results'!$I$147</f>
        <v>2745</v>
      </c>
      <c r="AH21" s="22">
        <f>'[17]Arc Results'!$I$158</f>
        <v>2745</v>
      </c>
      <c r="AI21" s="22">
        <f>'[17]Arc Results'!$I$213</f>
        <v>4000</v>
      </c>
      <c r="AJ21" s="22">
        <f>'[17]Arc Results'!$I$224</f>
        <v>4000</v>
      </c>
      <c r="AK21" s="22">
        <f>'[17]Arc Results'!$I$180</f>
        <v>3063</v>
      </c>
      <c r="AL21" s="22">
        <f>'[17]Arc Results'!$I$191</f>
        <v>3063.0000000000009</v>
      </c>
      <c r="AM21" s="22">
        <f>'[17]Arc Results'!$I$81</f>
        <v>3680.2669827794534</v>
      </c>
      <c r="AN21" s="22">
        <f>'[17]Arc Results'!$I$92</f>
        <v>4303.7328172205434</v>
      </c>
      <c r="AP21" s="9" t="e">
        <f t="shared" si="26"/>
        <v>#DIV/0!</v>
      </c>
      <c r="AQ21" s="9">
        <f t="shared" si="27"/>
        <v>1</v>
      </c>
      <c r="AR21" s="9">
        <f t="shared" si="28"/>
        <v>1</v>
      </c>
      <c r="AS21" s="9">
        <f t="shared" si="29"/>
        <v>1</v>
      </c>
      <c r="AT21" s="9">
        <f t="shared" si="30"/>
        <v>1</v>
      </c>
      <c r="AU21" s="9">
        <f t="shared" si="31"/>
        <v>1.0000000000000002</v>
      </c>
      <c r="AV21" s="9">
        <f t="shared" si="32"/>
        <v>1.0780894100775267</v>
      </c>
    </row>
    <row r="22" spans="1:48" ht="15.75">
      <c r="A22">
        <f t="shared" si="33"/>
        <v>18</v>
      </c>
      <c r="B22" s="9">
        <v>2020</v>
      </c>
      <c r="C22" s="9" t="s">
        <v>4</v>
      </c>
      <c r="D22" s="9" t="s">
        <v>88</v>
      </c>
      <c r="E22" s="7" t="s">
        <v>6</v>
      </c>
      <c r="F22" s="20" t="s">
        <v>79</v>
      </c>
      <c r="G22" s="7" t="s">
        <v>8</v>
      </c>
      <c r="H22" s="7" t="s">
        <v>9</v>
      </c>
      <c r="I22" s="9" t="s">
        <v>45</v>
      </c>
      <c r="J22" s="9">
        <v>500</v>
      </c>
      <c r="K22" s="9">
        <v>0.8</v>
      </c>
      <c r="L22" s="21">
        <f>'[18]Arc Results'!$I$10960+'[18]Arc Results'!$I$10971+'[18]Arc Results'!$I$10982+'[18]Arc Results'!$I$10993+'[18]Arc Results'!$I$11004+'[18]Arc Results'!$I$11015+'[18]Arc Results'!$I$11026+'[18]Arc Results'!$I$11037+'[18]Arc Results'!$I$11048+'[18]Arc Results'!$I$11059+'[18]Arc Results'!$I$11070+'[18]Arc Results'!$I$11081+'[18]Arc Results'!$I$11092+'[18]Arc Results'!$I$11103+'[18]Arc Results'!$I$11114+'[18]Arc Results'!$I$11125+'[18]Arc Results'!$I$11136+'[18]Arc Results'!$I$11147+'[18]Arc Results'!$I$11158+'[18]Arc Results'!$I$11169+'[18]Arc Results'!$I$11180+'[18]Arc Results'!$I$11191+'[18]Arc Results'!$I$11202+'[18]Arc Results'!$I$11213+'[18]Arc Results'!$I$11224+'[18]Arc Results'!$I$11235+'[18]Arc Results'!$I$11246+'[18]Arc Results'!$I$11257+'[18]Arc Results'!$I$11268</f>
        <v>3262.3369504531756</v>
      </c>
      <c r="M22" s="21">
        <f>'[18]Arc Results'!$I$257</f>
        <v>14299.710171428571</v>
      </c>
      <c r="N22" s="21">
        <f t="shared" si="34"/>
        <v>5576.6540785498491</v>
      </c>
      <c r="O22" s="21">
        <f t="shared" si="35"/>
        <v>8774.2296072507561</v>
      </c>
      <c r="P22" s="22">
        <f t="shared" si="36"/>
        <v>5812.8570507552849</v>
      </c>
      <c r="Q22" s="22">
        <f t="shared" si="37"/>
        <v>1266.3648036253776</v>
      </c>
      <c r="R22" s="22">
        <f t="shared" si="38"/>
        <v>443.89425981873109</v>
      </c>
      <c r="S22" s="22">
        <f t="shared" si="39"/>
        <v>528</v>
      </c>
      <c r="T22" s="22">
        <f t="shared" si="40"/>
        <v>6130</v>
      </c>
      <c r="U22" s="21"/>
      <c r="V22" s="21"/>
      <c r="W22" s="21"/>
      <c r="X22" s="23">
        <f t="shared" si="41"/>
        <v>0</v>
      </c>
      <c r="Y22" s="22"/>
      <c r="Z22" s="24">
        <f t="shared" si="42"/>
        <v>42831.709971428565</v>
      </c>
      <c r="AA22" s="22">
        <f>'[18]Arc Results'!$I$15</f>
        <v>264</v>
      </c>
      <c r="AB22" s="22">
        <f>'[18]Arc Results'!$I$26</f>
        <v>264</v>
      </c>
      <c r="AC22" s="22">
        <f>'[18]Arc Results'!$I$48</f>
        <v>515.1216012084592</v>
      </c>
      <c r="AD22" s="22">
        <f>'[18]Arc Results'!$I$59</f>
        <v>751.24320241691839</v>
      </c>
      <c r="AE22" s="22">
        <f>'[18]Arc Results'!$I$114</f>
        <v>211.96223564954681</v>
      </c>
      <c r="AF22" s="22">
        <f>'[18]Arc Results'!$I$125</f>
        <v>231.93202416918427</v>
      </c>
      <c r="AG22" s="22">
        <f>'[18]Arc Results'!$I$147</f>
        <v>2775.9478851963745</v>
      </c>
      <c r="AH22" s="22">
        <f>'[18]Arc Results'!$I$158</f>
        <v>2800.7061933534742</v>
      </c>
      <c r="AI22" s="22">
        <f>'[18]Arc Results'!$I$213</f>
        <v>4276.510574018127</v>
      </c>
      <c r="AJ22" s="22">
        <f>'[18]Arc Results'!$I$224</f>
        <v>4497.7190332326281</v>
      </c>
      <c r="AK22" s="22">
        <f>'[18]Arc Results'!$I$180</f>
        <v>3063</v>
      </c>
      <c r="AL22" s="22">
        <f>'[18]Arc Results'!$I$191</f>
        <v>3066.9999999999995</v>
      </c>
      <c r="AM22" s="22">
        <f>'[18]Arc Results'!$I$81</f>
        <v>2655.0970543806648</v>
      </c>
      <c r="AN22" s="22">
        <f>'[18]Arc Results'!$I$92</f>
        <v>3157.7599963746206</v>
      </c>
      <c r="AP22" s="9">
        <f t="shared" si="26"/>
        <v>1</v>
      </c>
      <c r="AQ22" s="9">
        <f t="shared" si="27"/>
        <v>1.1864562253566153</v>
      </c>
      <c r="AR22" s="9">
        <f t="shared" si="28"/>
        <v>1.0449877151549387</v>
      </c>
      <c r="AS22" s="9">
        <f t="shared" si="29"/>
        <v>1.0044396349151958</v>
      </c>
      <c r="AT22" s="9">
        <f t="shared" si="30"/>
        <v>1.0252111546102807</v>
      </c>
      <c r="AU22" s="9">
        <f t="shared" si="31"/>
        <v>1.0006525285481238</v>
      </c>
      <c r="AV22" s="9">
        <f t="shared" si="32"/>
        <v>1.086474333981539</v>
      </c>
    </row>
    <row r="23" spans="1:48" ht="15.75">
      <c r="A23">
        <f t="shared" si="33"/>
        <v>19</v>
      </c>
      <c r="B23" s="9">
        <v>2020</v>
      </c>
      <c r="C23" s="9" t="s">
        <v>4</v>
      </c>
      <c r="D23" s="9" t="s">
        <v>88</v>
      </c>
      <c r="E23" s="7" t="s">
        <v>6</v>
      </c>
      <c r="F23" s="20" t="s">
        <v>80</v>
      </c>
      <c r="G23" s="7" t="s">
        <v>8</v>
      </c>
      <c r="H23" s="7" t="s">
        <v>9</v>
      </c>
      <c r="I23" s="9" t="s">
        <v>45</v>
      </c>
      <c r="J23" s="9">
        <v>500</v>
      </c>
      <c r="K23" s="9">
        <v>0.8</v>
      </c>
      <c r="L23" s="21">
        <f>'[19]Arc Results'!$I$10960+'[19]Arc Results'!$I$10971+'[19]Arc Results'!$I$10982+'[19]Arc Results'!$I$10993+'[19]Arc Results'!$I$11004+'[19]Arc Results'!$I$11015+'[19]Arc Results'!$I$11026+'[19]Arc Results'!$I$11037+'[19]Arc Results'!$I$11048+'[19]Arc Results'!$I$11059+'[19]Arc Results'!$I$11070+'[19]Arc Results'!$I$11081+'[19]Arc Results'!$I$11092+'[19]Arc Results'!$I$11103+'[19]Arc Results'!$I$11114+'[19]Arc Results'!$I$11125+'[19]Arc Results'!$I$11136+'[19]Arc Results'!$I$11147+'[19]Arc Results'!$I$11158+'[19]Arc Results'!$I$11169+'[19]Arc Results'!$I$11180+'[19]Arc Results'!$I$11191+'[19]Arc Results'!$I$11202+'[19]Arc Results'!$I$11213+'[19]Arc Results'!$I$11224+'[19]Arc Results'!$I$11235+'[19]Arc Results'!$I$11246+'[19]Arc Results'!$I$11257+'[19]Arc Results'!$I$11268</f>
        <v>3318.7475999999979</v>
      </c>
      <c r="M23" s="21">
        <f>'[19]Arc Results'!$I$257</f>
        <v>14299.710171428569</v>
      </c>
      <c r="N23" s="21">
        <f t="shared" si="34"/>
        <v>5514.7583081570992</v>
      </c>
      <c r="O23" s="21">
        <f t="shared" si="35"/>
        <v>8221.2084592145002</v>
      </c>
      <c r="P23" s="22">
        <f t="shared" si="36"/>
        <v>4969.0970543806652</v>
      </c>
      <c r="Q23" s="22">
        <f t="shared" si="37"/>
        <v>3219.9999999999959</v>
      </c>
      <c r="R23" s="22">
        <f t="shared" si="38"/>
        <v>393.96978851963746</v>
      </c>
      <c r="S23" s="22">
        <f t="shared" si="39"/>
        <v>82.966189728098797</v>
      </c>
      <c r="T23" s="22">
        <f t="shared" si="40"/>
        <v>6130</v>
      </c>
      <c r="U23" s="21"/>
      <c r="V23" s="21"/>
      <c r="W23" s="21"/>
      <c r="X23" s="23">
        <f t="shared" si="41"/>
        <v>0</v>
      </c>
      <c r="Y23" s="22"/>
      <c r="Z23" s="24">
        <f t="shared" si="42"/>
        <v>42831.709971428558</v>
      </c>
      <c r="AA23" s="22">
        <f>'[19]Arc Results'!$I$15</f>
        <v>0</v>
      </c>
      <c r="AB23" s="22">
        <f>'[19]Arc Results'!$I$26</f>
        <v>82.966189728098797</v>
      </c>
      <c r="AC23" s="22">
        <f>'[19]Arc Results'!$I$48</f>
        <v>1509.0499999999959</v>
      </c>
      <c r="AD23" s="22">
        <f>'[19]Arc Results'!$I$59</f>
        <v>1710.95</v>
      </c>
      <c r="AE23" s="22">
        <f>'[19]Arc Results'!$I$114</f>
        <v>187</v>
      </c>
      <c r="AF23" s="22">
        <f>'[19]Arc Results'!$I$125</f>
        <v>206.96978851963746</v>
      </c>
      <c r="AG23" s="22">
        <f>'[19]Arc Results'!$I$147</f>
        <v>2745</v>
      </c>
      <c r="AH23" s="22">
        <f>'[19]Arc Results'!$I$158</f>
        <v>2769.7583081570997</v>
      </c>
      <c r="AI23" s="22">
        <f>'[19]Arc Results'!$I$213</f>
        <v>4000</v>
      </c>
      <c r="AJ23" s="22">
        <f>'[19]Arc Results'!$I$224</f>
        <v>4221.2084592145011</v>
      </c>
      <c r="AK23" s="22">
        <f>'[19]Arc Results'!$I$180</f>
        <v>3063</v>
      </c>
      <c r="AL23" s="22">
        <f>'[19]Arc Results'!$I$191</f>
        <v>3067</v>
      </c>
      <c r="AM23" s="22">
        <f>'[19]Arc Results'!$I$81</f>
        <v>2314</v>
      </c>
      <c r="AN23" s="22">
        <f>'[19]Arc Results'!$I$92</f>
        <v>2655.0970543806648</v>
      </c>
      <c r="AP23" s="9">
        <f t="shared" si="26"/>
        <v>2</v>
      </c>
      <c r="AQ23" s="9">
        <f t="shared" si="27"/>
        <v>1.0627018633540386</v>
      </c>
      <c r="AR23" s="9">
        <f t="shared" si="28"/>
        <v>1.0506886291831539</v>
      </c>
      <c r="AS23" s="9">
        <f t="shared" si="29"/>
        <v>1.0044894638665269</v>
      </c>
      <c r="AT23" s="9">
        <f t="shared" si="30"/>
        <v>1.0269070490441787</v>
      </c>
      <c r="AU23" s="9">
        <f t="shared" si="31"/>
        <v>1.000652528548124</v>
      </c>
      <c r="AV23" s="9">
        <f t="shared" si="32"/>
        <v>1.0686436691913592</v>
      </c>
    </row>
    <row r="24" spans="1:48" ht="15.75">
      <c r="A24">
        <f t="shared" si="33"/>
        <v>20</v>
      </c>
      <c r="B24" s="9">
        <v>2020</v>
      </c>
      <c r="C24" s="9" t="s">
        <v>4</v>
      </c>
      <c r="D24" s="9" t="s">
        <v>88</v>
      </c>
      <c r="E24" s="7" t="s">
        <v>6</v>
      </c>
      <c r="F24" s="20" t="s">
        <v>81</v>
      </c>
      <c r="G24" s="7" t="s">
        <v>8</v>
      </c>
      <c r="H24" s="7" t="s">
        <v>9</v>
      </c>
      <c r="I24" s="9" t="s">
        <v>45</v>
      </c>
      <c r="J24" s="9">
        <v>500</v>
      </c>
      <c r="K24" s="9">
        <v>0.8</v>
      </c>
      <c r="L24" s="21">
        <f>'[20]Arc Results'!$I$10960+'[20]Arc Results'!$I$10971+'[20]Arc Results'!$I$10982+'[20]Arc Results'!$I$10993+'[20]Arc Results'!$I$11004+'[20]Arc Results'!$I$11015+'[20]Arc Results'!$I$11026+'[20]Arc Results'!$I$11037+'[20]Arc Results'!$I$11048+'[20]Arc Results'!$I$11059+'[20]Arc Results'!$I$11070+'[20]Arc Results'!$I$11081+'[20]Arc Results'!$I$11092+'[20]Arc Results'!$I$11103+'[20]Arc Results'!$I$11114+'[20]Arc Results'!$I$11125+'[20]Arc Results'!$I$11136+'[20]Arc Results'!$I$11147+'[20]Arc Results'!$I$11158+'[20]Arc Results'!$I$11169+'[20]Arc Results'!$I$11180+'[20]Arc Results'!$I$11191+'[20]Arc Results'!$I$11202+'[20]Arc Results'!$I$11213+'[20]Arc Results'!$I$11224+'[20]Arc Results'!$I$11235+'[20]Arc Results'!$I$11246+'[20]Arc Results'!$I$11257+'[20]Arc Results'!$I$11268</f>
        <v>3212.4825697885226</v>
      </c>
      <c r="M24" s="21">
        <f>'[20]Arc Results'!$I$257</f>
        <v>14299.710171428573</v>
      </c>
      <c r="N24" s="21">
        <f t="shared" si="34"/>
        <v>5576.6540785498491</v>
      </c>
      <c r="O24" s="21">
        <f t="shared" si="35"/>
        <v>8774.2296072507561</v>
      </c>
      <c r="P24" s="22">
        <f t="shared" si="36"/>
        <v>5859.6093166163146</v>
      </c>
      <c r="Q24" s="22">
        <f t="shared" si="37"/>
        <v>1266.3648036253776</v>
      </c>
      <c r="R24" s="22">
        <f t="shared" si="38"/>
        <v>672.00000000000023</v>
      </c>
      <c r="S24" s="22">
        <f t="shared" si="39"/>
        <v>253.1419939577039</v>
      </c>
      <c r="T24" s="22">
        <f t="shared" si="40"/>
        <v>6130</v>
      </c>
      <c r="U24" s="21"/>
      <c r="V24" s="21"/>
      <c r="W24" s="21"/>
      <c r="X24" s="23">
        <f t="shared" si="41"/>
        <v>0</v>
      </c>
      <c r="Y24" s="22"/>
      <c r="Z24" s="24">
        <f t="shared" si="42"/>
        <v>42831.709971428572</v>
      </c>
      <c r="AA24" s="22">
        <f>'[20]Arc Results'!$I$15</f>
        <v>90.407854984894257</v>
      </c>
      <c r="AB24" s="22">
        <f>'[20]Arc Results'!$I$26</f>
        <v>162.73413897280966</v>
      </c>
      <c r="AC24" s="22">
        <f>'[20]Arc Results'!$I$48</f>
        <v>515.1216012084592</v>
      </c>
      <c r="AD24" s="22">
        <f>'[20]Arc Results'!$I$59</f>
        <v>751.24320241691839</v>
      </c>
      <c r="AE24" s="22">
        <f>'[20]Arc Results'!$I$114</f>
        <v>335.70000000000016</v>
      </c>
      <c r="AF24" s="22">
        <f>'[20]Arc Results'!$I$125</f>
        <v>336.3</v>
      </c>
      <c r="AG24" s="22">
        <f>'[20]Arc Results'!$I$147</f>
        <v>2775.9478851963745</v>
      </c>
      <c r="AH24" s="22">
        <f>'[20]Arc Results'!$I$158</f>
        <v>2800.7061933534742</v>
      </c>
      <c r="AI24" s="22">
        <f>'[20]Arc Results'!$I$213</f>
        <v>4276.510574018127</v>
      </c>
      <c r="AJ24" s="22">
        <f>'[20]Arc Results'!$I$224</f>
        <v>4497.7190332326281</v>
      </c>
      <c r="AK24" s="22">
        <f>'[20]Arc Results'!$I$180</f>
        <v>3063</v>
      </c>
      <c r="AL24" s="22">
        <f>'[20]Arc Results'!$I$191</f>
        <v>3066.9999999999995</v>
      </c>
      <c r="AM24" s="22">
        <f>'[20]Arc Results'!$I$81</f>
        <v>2655.0970543806648</v>
      </c>
      <c r="AN24" s="22">
        <f>'[20]Arc Results'!$I$92</f>
        <v>3204.5122622356498</v>
      </c>
      <c r="AP24" s="9">
        <f t="shared" si="26"/>
        <v>1.2857142857142858</v>
      </c>
      <c r="AQ24" s="9">
        <f t="shared" si="27"/>
        <v>1.1864562253566153</v>
      </c>
      <c r="AR24" s="9">
        <f t="shared" si="28"/>
        <v>1.0008928571428568</v>
      </c>
      <c r="AS24" s="9">
        <f t="shared" si="29"/>
        <v>1.0044396349151958</v>
      </c>
      <c r="AT24" s="9">
        <f t="shared" si="30"/>
        <v>1.0252111546102807</v>
      </c>
      <c r="AU24" s="9">
        <f t="shared" si="31"/>
        <v>1.0006525285481238</v>
      </c>
      <c r="AV24" s="9">
        <f t="shared" si="32"/>
        <v>1.0937631125503517</v>
      </c>
    </row>
    <row r="25" spans="1:48" ht="15.75">
      <c r="A25">
        <f t="shared" si="33"/>
        <v>21</v>
      </c>
      <c r="B25" s="9">
        <v>2020</v>
      </c>
      <c r="C25" s="9" t="s">
        <v>4</v>
      </c>
      <c r="D25" s="9" t="s">
        <v>88</v>
      </c>
      <c r="E25" s="7" t="s">
        <v>6</v>
      </c>
      <c r="F25" s="20" t="s">
        <v>82</v>
      </c>
      <c r="G25" s="7" t="s">
        <v>8</v>
      </c>
      <c r="H25" s="7" t="s">
        <v>9</v>
      </c>
      <c r="I25" s="9" t="s">
        <v>45</v>
      </c>
      <c r="J25" s="9">
        <v>500</v>
      </c>
      <c r="K25" s="9">
        <v>0.8</v>
      </c>
      <c r="L25" s="21">
        <f>'[21]Arc Results'!$I$10960+'[21]Arc Results'!$I$10971+'[21]Arc Results'!$I$10982+'[21]Arc Results'!$I$10993+'[21]Arc Results'!$I$11004+'[21]Arc Results'!$I$11015+'[21]Arc Results'!$I$11026+'[21]Arc Results'!$I$11037+'[21]Arc Results'!$I$11048+'[21]Arc Results'!$I$11059+'[21]Arc Results'!$I$11070+'[21]Arc Results'!$I$11081+'[21]Arc Results'!$I$11092+'[21]Arc Results'!$I$11103+'[21]Arc Results'!$I$11114+'[21]Arc Results'!$I$11125+'[21]Arc Results'!$I$11136+'[21]Arc Results'!$I$11147+'[21]Arc Results'!$I$11158+'[21]Arc Results'!$I$11169+'[21]Arc Results'!$I$11180+'[21]Arc Results'!$I$11191+'[21]Arc Results'!$I$11202+'[21]Arc Results'!$I$11213+'[21]Arc Results'!$I$11224+'[21]Arc Results'!$I$11235+'[21]Arc Results'!$I$11246+'[21]Arc Results'!$I$11257+'[21]Arc Results'!$I$11268</f>
        <v>3275.1007232628403</v>
      </c>
      <c r="M25" s="21">
        <f>'[21]Arc Results'!$I$257</f>
        <v>14299.71017142856</v>
      </c>
      <c r="N25" s="21">
        <f t="shared" si="34"/>
        <v>5490</v>
      </c>
      <c r="O25" s="21">
        <f t="shared" si="35"/>
        <v>8867.8306157099687</v>
      </c>
      <c r="P25" s="22">
        <f t="shared" si="36"/>
        <v>5992.388217522659</v>
      </c>
      <c r="Q25" s="22">
        <f t="shared" si="37"/>
        <v>1313.5891238670695</v>
      </c>
      <c r="R25" s="22">
        <f t="shared" si="38"/>
        <v>448.88670694864049</v>
      </c>
      <c r="S25" s="22">
        <f t="shared" si="39"/>
        <v>289.30513595166161</v>
      </c>
      <c r="T25" s="22">
        <f t="shared" si="40"/>
        <v>6130</v>
      </c>
      <c r="U25" s="21"/>
      <c r="V25" s="21"/>
      <c r="W25" s="21"/>
      <c r="X25" s="23">
        <f t="shared" si="41"/>
        <v>0</v>
      </c>
      <c r="Y25" s="22"/>
      <c r="Z25" s="24">
        <f t="shared" si="42"/>
        <v>42831.70997142855</v>
      </c>
      <c r="AA25" s="22">
        <f>'[21]Arc Results'!$I$15</f>
        <v>108.48942598187311</v>
      </c>
      <c r="AB25" s="22">
        <f>'[21]Arc Results'!$I$26</f>
        <v>180.81570996978851</v>
      </c>
      <c r="AC25" s="22">
        <f>'[21]Arc Results'!$I$48</f>
        <v>562.34592145015108</v>
      </c>
      <c r="AD25" s="22">
        <f>'[21]Arc Results'!$I$59</f>
        <v>751.24320241691839</v>
      </c>
      <c r="AE25" s="22">
        <f>'[21]Arc Results'!$I$114</f>
        <v>211.96223564954681</v>
      </c>
      <c r="AF25" s="22">
        <f>'[21]Arc Results'!$I$125</f>
        <v>236.92447129909365</v>
      </c>
      <c r="AG25" s="22">
        <f>'[21]Arc Results'!$I$147</f>
        <v>2745</v>
      </c>
      <c r="AH25" s="22">
        <f>'[21]Arc Results'!$I$158</f>
        <v>2745</v>
      </c>
      <c r="AI25" s="22">
        <f>'[21]Arc Results'!$I$213</f>
        <v>4314.8094676737137</v>
      </c>
      <c r="AJ25" s="22">
        <f>'[21]Arc Results'!$I$224</f>
        <v>4553.0211480362541</v>
      </c>
      <c r="AK25" s="22">
        <f>'[21]Arc Results'!$I$180</f>
        <v>3063</v>
      </c>
      <c r="AL25" s="22">
        <f>'[21]Arc Results'!$I$191</f>
        <v>3066.9999999999995</v>
      </c>
      <c r="AM25" s="22">
        <f>'[21]Arc Results'!$I$81</f>
        <v>2768.7960725075527</v>
      </c>
      <c r="AN25" s="22">
        <f>'[21]Arc Results'!$I$92</f>
        <v>3223.5921450151059</v>
      </c>
      <c r="AP25" s="9">
        <f t="shared" si="26"/>
        <v>1.25</v>
      </c>
      <c r="AQ25" s="9">
        <f t="shared" si="27"/>
        <v>1.1438024093947075</v>
      </c>
      <c r="AR25" s="9">
        <f t="shared" si="28"/>
        <v>1.0556092111063624</v>
      </c>
      <c r="AS25" s="9">
        <f t="shared" si="29"/>
        <v>1</v>
      </c>
      <c r="AT25" s="9">
        <f t="shared" si="30"/>
        <v>1.0268624526883194</v>
      </c>
      <c r="AU25" s="9">
        <f t="shared" si="31"/>
        <v>1.0006525285481238</v>
      </c>
      <c r="AV25" s="9">
        <f t="shared" si="32"/>
        <v>1.07589562892098</v>
      </c>
    </row>
    <row r="26" spans="1:48" ht="15.75">
      <c r="A26">
        <f t="shared" si="33"/>
        <v>22</v>
      </c>
      <c r="B26" s="9">
        <v>2020</v>
      </c>
      <c r="C26" s="9" t="s">
        <v>4</v>
      </c>
      <c r="D26" s="9" t="s">
        <v>88</v>
      </c>
      <c r="E26" s="7" t="s">
        <v>6</v>
      </c>
      <c r="F26" s="20" t="s">
        <v>83</v>
      </c>
      <c r="G26" s="7" t="s">
        <v>8</v>
      </c>
      <c r="H26" s="7" t="s">
        <v>9</v>
      </c>
      <c r="I26" s="9" t="s">
        <v>45</v>
      </c>
      <c r="J26" s="9">
        <v>500</v>
      </c>
      <c r="K26" s="9">
        <v>0.8</v>
      </c>
      <c r="L26" s="21">
        <f>'[22]Arc Results'!$I$10960+'[22]Arc Results'!$I$10971+'[22]Arc Results'!$I$10982+'[22]Arc Results'!$I$10993+'[22]Arc Results'!$I$11004+'[22]Arc Results'!$I$11015+'[22]Arc Results'!$I$11026+'[22]Arc Results'!$I$11037+'[22]Arc Results'!$I$11048+'[22]Arc Results'!$I$11059+'[22]Arc Results'!$I$11070+'[22]Arc Results'!$I$11081+'[22]Arc Results'!$I$11092+'[22]Arc Results'!$I$11103+'[22]Arc Results'!$I$11114+'[22]Arc Results'!$I$11125+'[22]Arc Results'!$I$11136+'[22]Arc Results'!$I$11147+'[22]Arc Results'!$I$11158+'[22]Arc Results'!$I$11169+'[22]Arc Results'!$I$11180+'[22]Arc Results'!$I$11191+'[22]Arc Results'!$I$11202+'[22]Arc Results'!$I$11213+'[22]Arc Results'!$I$11224+'[22]Arc Results'!$I$11235+'[22]Arc Results'!$I$11246+'[22]Arc Results'!$I$11257+'[22]Arc Results'!$I$11268</f>
        <v>3382.7950320241703</v>
      </c>
      <c r="M26" s="21">
        <f>'[22]Arc Results'!$I$257</f>
        <v>14299.710171428571</v>
      </c>
      <c r="N26" s="21">
        <f t="shared" si="34"/>
        <v>5613.791540785498</v>
      </c>
      <c r="O26" s="21">
        <f t="shared" si="35"/>
        <v>8000</v>
      </c>
      <c r="P26" s="22">
        <f t="shared" si="36"/>
        <v>6447.1842900302117</v>
      </c>
      <c r="Q26" s="22">
        <f t="shared" si="37"/>
        <v>1505.5436066465249</v>
      </c>
      <c r="R26" s="22">
        <f t="shared" si="38"/>
        <v>473.84894259818731</v>
      </c>
      <c r="S26" s="22">
        <f t="shared" si="39"/>
        <v>361.63141993957703</v>
      </c>
      <c r="T26" s="22">
        <f t="shared" si="40"/>
        <v>6130</v>
      </c>
      <c r="U26" s="21"/>
      <c r="V26" s="21"/>
      <c r="W26" s="21"/>
      <c r="X26" s="23">
        <f t="shared" si="41"/>
        <v>0</v>
      </c>
      <c r="Y26" s="22"/>
      <c r="Z26" s="24">
        <f t="shared" si="42"/>
        <v>42831.70997142858</v>
      </c>
      <c r="AA26" s="22">
        <f>'[22]Arc Results'!$I$15</f>
        <v>144.65256797583081</v>
      </c>
      <c r="AB26" s="22">
        <f>'[22]Arc Results'!$I$26</f>
        <v>216.97885196374622</v>
      </c>
      <c r="AC26" s="22">
        <f>'[22]Arc Results'!$I$48</f>
        <v>656.79456193353474</v>
      </c>
      <c r="AD26" s="22">
        <f>'[22]Arc Results'!$I$59</f>
        <v>848.74904471299033</v>
      </c>
      <c r="AE26" s="22">
        <f>'[22]Arc Results'!$I$114</f>
        <v>226.93957703927492</v>
      </c>
      <c r="AF26" s="22">
        <f>'[22]Arc Results'!$I$125</f>
        <v>246.90936555891238</v>
      </c>
      <c r="AG26" s="22">
        <f>'[22]Arc Results'!$I$147</f>
        <v>2794.5166163141994</v>
      </c>
      <c r="AH26" s="22">
        <f>'[22]Arc Results'!$I$158</f>
        <v>2819.2749244712991</v>
      </c>
      <c r="AI26" s="22">
        <f>'[22]Arc Results'!$I$213</f>
        <v>4000</v>
      </c>
      <c r="AJ26" s="22">
        <f>'[22]Arc Results'!$I$224</f>
        <v>4000.0000000000005</v>
      </c>
      <c r="AK26" s="22">
        <f>'[22]Arc Results'!$I$180</f>
        <v>3063</v>
      </c>
      <c r="AL26" s="22">
        <f>'[22]Arc Results'!$I$191</f>
        <v>3066.9999999999995</v>
      </c>
      <c r="AM26" s="22">
        <f>'[22]Arc Results'!$I$81</f>
        <v>2996.1941087613295</v>
      </c>
      <c r="AN26" s="22">
        <f>'[22]Arc Results'!$I$92</f>
        <v>3450.9901812688822</v>
      </c>
      <c r="AP26" s="9">
        <f t="shared" si="26"/>
        <v>1.2</v>
      </c>
      <c r="AQ26" s="9">
        <f t="shared" si="27"/>
        <v>1.1274984543337263</v>
      </c>
      <c r="AR26" s="9">
        <f t="shared" si="28"/>
        <v>1.0421437861824487</v>
      </c>
      <c r="AS26" s="9">
        <f t="shared" si="29"/>
        <v>1.0044102649657054</v>
      </c>
      <c r="AT26" s="9">
        <f t="shared" si="30"/>
        <v>1.0000000000000002</v>
      </c>
      <c r="AU26" s="9">
        <f t="shared" si="31"/>
        <v>1.0006525285481238</v>
      </c>
      <c r="AV26" s="9">
        <f t="shared" si="32"/>
        <v>1.070541813611694</v>
      </c>
    </row>
    <row r="27" spans="1:48" ht="15.75">
      <c r="A27">
        <f t="shared" si="33"/>
        <v>23</v>
      </c>
      <c r="B27" s="9">
        <v>2020</v>
      </c>
      <c r="C27" s="9" t="s">
        <v>4</v>
      </c>
      <c r="D27" s="9" t="s">
        <v>88</v>
      </c>
      <c r="E27" s="7" t="s">
        <v>6</v>
      </c>
      <c r="F27" s="20" t="s">
        <v>84</v>
      </c>
      <c r="G27" s="7" t="s">
        <v>8</v>
      </c>
      <c r="H27" s="7" t="s">
        <v>9</v>
      </c>
      <c r="I27" s="9" t="s">
        <v>45</v>
      </c>
      <c r="J27" s="9">
        <v>500</v>
      </c>
      <c r="K27" s="9">
        <v>0.8</v>
      </c>
      <c r="L27" s="21">
        <f>'[23]Arc Results'!$I$10960+'[23]Arc Results'!$I$10971+'[23]Arc Results'!$I$10982+'[23]Arc Results'!$I$10993+'[23]Arc Results'!$I$11004+'[23]Arc Results'!$I$11015+'[23]Arc Results'!$I$11026+'[23]Arc Results'!$I$11037+'[23]Arc Results'!$I$11048+'[23]Arc Results'!$I$11059+'[23]Arc Results'!$I$11070+'[23]Arc Results'!$I$11081+'[23]Arc Results'!$I$11092+'[23]Arc Results'!$I$11103+'[23]Arc Results'!$I$11114+'[23]Arc Results'!$I$11125+'[23]Arc Results'!$I$11136+'[23]Arc Results'!$I$11147+'[23]Arc Results'!$I$11158+'[23]Arc Results'!$I$11169+'[23]Arc Results'!$I$11180+'[23]Arc Results'!$I$11191+'[23]Arc Results'!$I$11202+'[23]Arc Results'!$I$11213+'[23]Arc Results'!$I$11224+'[23]Arc Results'!$I$11235+'[23]Arc Results'!$I$11246+'[23]Arc Results'!$I$11257+'[23]Arc Results'!$I$11268</f>
        <v>3471.0705117824814</v>
      </c>
      <c r="M27" s="21">
        <f>'[23]Arc Results'!$I$257</f>
        <v>14299.710171428575</v>
      </c>
      <c r="N27" s="21">
        <f t="shared" si="34"/>
        <v>5650.9290030211487</v>
      </c>
      <c r="O27" s="21">
        <f t="shared" si="35"/>
        <v>9382.5528700906343</v>
      </c>
      <c r="P27" s="22">
        <f t="shared" si="36"/>
        <v>4628</v>
      </c>
      <c r="Q27" s="22">
        <f t="shared" si="37"/>
        <v>1785.8323262839879</v>
      </c>
      <c r="R27" s="22">
        <f t="shared" si="38"/>
        <v>503.80362537764347</v>
      </c>
      <c r="S27" s="22">
        <f t="shared" si="39"/>
        <v>450.88197522658629</v>
      </c>
      <c r="T27" s="22">
        <f t="shared" si="40"/>
        <v>6130</v>
      </c>
      <c r="U27" s="21"/>
      <c r="V27" s="21"/>
      <c r="W27" s="21"/>
      <c r="X27" s="23">
        <f t="shared" si="41"/>
        <v>0</v>
      </c>
      <c r="Y27" s="22"/>
      <c r="Z27" s="24">
        <f t="shared" si="42"/>
        <v>42831.70997142858</v>
      </c>
      <c r="AA27" s="22">
        <f>'[23]Arc Results'!$I$15</f>
        <v>186.88197522658629</v>
      </c>
      <c r="AB27" s="22">
        <f>'[23]Arc Results'!$I$26</f>
        <v>264</v>
      </c>
      <c r="AC27" s="22">
        <f>'[23]Arc Results'!$I$48</f>
        <v>798.46752265861028</v>
      </c>
      <c r="AD27" s="22">
        <f>'[23]Arc Results'!$I$59</f>
        <v>987.36480362537759</v>
      </c>
      <c r="AE27" s="22">
        <f>'[23]Arc Results'!$I$114</f>
        <v>241.916918429003</v>
      </c>
      <c r="AF27" s="22">
        <f>'[23]Arc Results'!$I$125</f>
        <v>261.88670694864049</v>
      </c>
      <c r="AG27" s="22">
        <f>'[23]Arc Results'!$I$147</f>
        <v>2813.0853474320243</v>
      </c>
      <c r="AH27" s="22">
        <f>'[23]Arc Results'!$I$158</f>
        <v>2837.843655589124</v>
      </c>
      <c r="AI27" s="22">
        <f>'[23]Arc Results'!$I$213</f>
        <v>4553.0211480362541</v>
      </c>
      <c r="AJ27" s="22">
        <f>'[23]Arc Results'!$I$224</f>
        <v>4829.5317220543802</v>
      </c>
      <c r="AK27" s="22">
        <f>'[23]Arc Results'!$I$180</f>
        <v>3063</v>
      </c>
      <c r="AL27" s="22">
        <f>'[23]Arc Results'!$I$191</f>
        <v>3066.9999999999995</v>
      </c>
      <c r="AM27" s="22">
        <f>'[23]Arc Results'!$I$81</f>
        <v>2314</v>
      </c>
      <c r="AN27" s="22">
        <f>'[23]Arc Results'!$I$92</f>
        <v>2314</v>
      </c>
      <c r="AP27" s="9">
        <f t="shared" si="26"/>
        <v>1.1710381630018782</v>
      </c>
      <c r="AQ27" s="9">
        <f t="shared" si="27"/>
        <v>1.1057754852942048</v>
      </c>
      <c r="AR27" s="9">
        <f t="shared" si="28"/>
        <v>1.039638040525549</v>
      </c>
      <c r="AS27" s="9">
        <f t="shared" si="29"/>
        <v>1.0043812810502242</v>
      </c>
      <c r="AT27" s="9">
        <f t="shared" si="30"/>
        <v>1.0294707184544174</v>
      </c>
      <c r="AU27" s="9">
        <f t="shared" si="31"/>
        <v>1.0006525285481238</v>
      </c>
      <c r="AV27" s="9">
        <f t="shared" si="32"/>
        <v>1</v>
      </c>
    </row>
    <row r="28" spans="1:48" ht="15.75">
      <c r="A28">
        <f t="shared" si="33"/>
        <v>24</v>
      </c>
      <c r="B28" s="9">
        <v>2020</v>
      </c>
      <c r="C28" s="9" t="s">
        <v>4</v>
      </c>
      <c r="D28" s="9" t="s">
        <v>88</v>
      </c>
      <c r="E28" s="7" t="s">
        <v>6</v>
      </c>
      <c r="F28" s="20" t="s">
        <v>85</v>
      </c>
      <c r="G28" s="7" t="s">
        <v>8</v>
      </c>
      <c r="H28" s="7" t="s">
        <v>9</v>
      </c>
      <c r="I28" s="9" t="s">
        <v>45</v>
      </c>
      <c r="J28" s="9">
        <v>500</v>
      </c>
      <c r="K28" s="9">
        <v>0.8</v>
      </c>
      <c r="L28" s="21">
        <f>'[24]Arc Results'!$I$10960+'[24]Arc Results'!$I$10971+'[24]Arc Results'!$I$10982+'[24]Arc Results'!$I$10993+'[24]Arc Results'!$I$11004+'[24]Arc Results'!$I$11015+'[24]Arc Results'!$I$11026+'[24]Arc Results'!$I$11037+'[24]Arc Results'!$I$11048+'[24]Arc Results'!$I$11059+'[24]Arc Results'!$I$11070+'[24]Arc Results'!$I$11081+'[24]Arc Results'!$I$11092+'[24]Arc Results'!$I$11103+'[24]Arc Results'!$I$11114+'[24]Arc Results'!$I$11125+'[24]Arc Results'!$I$11136+'[24]Arc Results'!$I$11147+'[24]Arc Results'!$I$11158+'[24]Arc Results'!$I$11169+'[24]Arc Results'!$I$11180+'[24]Arc Results'!$I$11191+'[24]Arc Results'!$I$11202+'[24]Arc Results'!$I$11213+'[24]Arc Results'!$I$11224+'[24]Arc Results'!$I$11235+'[24]Arc Results'!$I$11246+'[24]Arc Results'!$I$11257+'[24]Arc Results'!$I$11268</f>
        <v>3225.7444277945656</v>
      </c>
      <c r="M28" s="21">
        <f>'[24]Arc Results'!$I$257</f>
        <v>14299.710171428573</v>
      </c>
      <c r="N28" s="21">
        <f t="shared" si="34"/>
        <v>5589.0332326283988</v>
      </c>
      <c r="O28" s="21">
        <f t="shared" si="35"/>
        <v>8887.1942864048324</v>
      </c>
      <c r="P28" s="22">
        <f t="shared" si="36"/>
        <v>6106.0872356495465</v>
      </c>
      <c r="Q28" s="22">
        <f t="shared" si="37"/>
        <v>1360.8134441087614</v>
      </c>
      <c r="R28" s="22">
        <f t="shared" si="38"/>
        <v>458.8716012084592</v>
      </c>
      <c r="S28" s="22">
        <f t="shared" si="39"/>
        <v>0</v>
      </c>
      <c r="T28" s="22">
        <f t="shared" si="40"/>
        <v>6130</v>
      </c>
      <c r="U28" s="21"/>
      <c r="V28" s="21"/>
      <c r="W28" s="21"/>
      <c r="X28" s="23">
        <f t="shared" si="41"/>
        <v>0</v>
      </c>
      <c r="Y28" s="22"/>
      <c r="Z28" s="24">
        <f t="shared" si="42"/>
        <v>42831.709971428572</v>
      </c>
      <c r="AA28" s="22">
        <f>'[24]Arc Results'!$I$15</f>
        <v>0</v>
      </c>
      <c r="AB28" s="22">
        <f>'[24]Arc Results'!$I$26</f>
        <v>0</v>
      </c>
      <c r="AC28" s="22">
        <f>'[24]Arc Results'!$I$48</f>
        <v>562.34592145015108</v>
      </c>
      <c r="AD28" s="22">
        <f>'[24]Arc Results'!$I$59</f>
        <v>798.46752265861028</v>
      </c>
      <c r="AE28" s="22">
        <f>'[24]Arc Results'!$I$114</f>
        <v>216.95468277945619</v>
      </c>
      <c r="AF28" s="22">
        <f>'[24]Arc Results'!$I$125</f>
        <v>241.916918429003</v>
      </c>
      <c r="AG28" s="22">
        <f>'[24]Arc Results'!$I$147</f>
        <v>2782.1374622356498</v>
      </c>
      <c r="AH28" s="22">
        <f>'[24]Arc Results'!$I$158</f>
        <v>2806.8957703927495</v>
      </c>
      <c r="AI28" s="22">
        <f>'[24]Arc Results'!$I$213</f>
        <v>4331.8126888217521</v>
      </c>
      <c r="AJ28" s="22">
        <f>'[24]Arc Results'!$I$224</f>
        <v>4555.3815975830812</v>
      </c>
      <c r="AK28" s="22">
        <f>'[24]Arc Results'!$I$180</f>
        <v>3063</v>
      </c>
      <c r="AL28" s="22">
        <f>'[24]Arc Results'!$I$191</f>
        <v>3066.9999999999995</v>
      </c>
      <c r="AM28" s="22">
        <f>'[24]Arc Results'!$I$81</f>
        <v>2768.7960725075527</v>
      </c>
      <c r="AN28" s="22">
        <f>'[24]Arc Results'!$I$92</f>
        <v>3337.2911631419938</v>
      </c>
      <c r="AP28" s="9" t="e">
        <f t="shared" si="26"/>
        <v>#DIV/0!</v>
      </c>
      <c r="AQ28" s="9">
        <f t="shared" si="27"/>
        <v>1.1735150414854274</v>
      </c>
      <c r="AR28" s="9">
        <f t="shared" si="28"/>
        <v>1.0543991730667308</v>
      </c>
      <c r="AS28" s="9">
        <f t="shared" si="29"/>
        <v>1.0044298015643498</v>
      </c>
      <c r="AT28" s="9">
        <f t="shared" si="30"/>
        <v>1.0251562981022406</v>
      </c>
      <c r="AU28" s="9">
        <f t="shared" si="31"/>
        <v>1.0006525285481238</v>
      </c>
      <c r="AV28" s="9">
        <f t="shared" si="32"/>
        <v>1.0931030083087188</v>
      </c>
    </row>
    <row r="29" spans="1:48" ht="15.75">
      <c r="A29">
        <f t="shared" si="33"/>
        <v>25</v>
      </c>
      <c r="B29" s="9">
        <v>2020</v>
      </c>
      <c r="C29" s="9" t="s">
        <v>4</v>
      </c>
      <c r="D29" s="9" t="s">
        <v>88</v>
      </c>
      <c r="E29" s="7" t="s">
        <v>6</v>
      </c>
      <c r="F29" s="20" t="s">
        <v>86</v>
      </c>
      <c r="G29" s="7" t="s">
        <v>8</v>
      </c>
      <c r="H29" s="7" t="s">
        <v>9</v>
      </c>
      <c r="I29" s="9" t="s">
        <v>45</v>
      </c>
      <c r="J29" s="9">
        <v>500</v>
      </c>
      <c r="K29" s="9">
        <v>0.8</v>
      </c>
      <c r="L29" s="21">
        <f>'[25]Arc Results'!$I$10960+'[25]Arc Results'!$I$10971+'[25]Arc Results'!$I$10982+'[25]Arc Results'!$I$10993+'[25]Arc Results'!$I$11004+'[25]Arc Results'!$I$11015+'[25]Arc Results'!$I$11026+'[25]Arc Results'!$I$11037+'[25]Arc Results'!$I$11048+'[25]Arc Results'!$I$11059+'[25]Arc Results'!$I$11070+'[25]Arc Results'!$I$11081+'[25]Arc Results'!$I$11092+'[25]Arc Results'!$I$11103+'[25]Arc Results'!$I$11114+'[25]Arc Results'!$I$11125+'[25]Arc Results'!$I$11136+'[25]Arc Results'!$I$11147+'[25]Arc Results'!$I$11158+'[25]Arc Results'!$I$11169+'[25]Arc Results'!$I$11180+'[25]Arc Results'!$I$11191+'[25]Arc Results'!$I$11202+'[25]Arc Results'!$I$11213+'[25]Arc Results'!$I$11224+'[25]Arc Results'!$I$11235+'[25]Arc Results'!$I$11246+'[25]Arc Results'!$I$11257+'[25]Arc Results'!$I$11268</f>
        <v>3288.918699093656</v>
      </c>
      <c r="M29" s="21">
        <f>'[25]Arc Results'!$I$257</f>
        <v>14299.710171428565</v>
      </c>
      <c r="N29" s="21">
        <f t="shared" si="34"/>
        <v>5607.6019637462232</v>
      </c>
      <c r="O29" s="21">
        <f t="shared" si="35"/>
        <v>9050.7401812688804</v>
      </c>
      <c r="P29" s="22">
        <f t="shared" si="36"/>
        <v>6373.2513105740181</v>
      </c>
      <c r="Q29" s="22">
        <f t="shared" si="37"/>
        <v>558.00000000000102</v>
      </c>
      <c r="R29" s="22">
        <f t="shared" si="38"/>
        <v>468.8564954682779</v>
      </c>
      <c r="S29" s="22">
        <f t="shared" si="39"/>
        <v>343.5498489425982</v>
      </c>
      <c r="T29" s="22">
        <f t="shared" si="40"/>
        <v>6130</v>
      </c>
      <c r="U29" s="21"/>
      <c r="V29" s="21"/>
      <c r="W29" s="21"/>
      <c r="X29" s="23">
        <f t="shared" si="41"/>
        <v>0</v>
      </c>
      <c r="Y29" s="22"/>
      <c r="Z29" s="24">
        <f t="shared" si="42"/>
        <v>42831.709971428565</v>
      </c>
      <c r="AA29" s="22">
        <f>'[25]Arc Results'!$I$15</f>
        <v>126.57099697885197</v>
      </c>
      <c r="AB29" s="22">
        <f>'[25]Arc Results'!$I$26</f>
        <v>216.97885196374622</v>
      </c>
      <c r="AC29" s="22">
        <f>'[25]Arc Results'!$I$48</f>
        <v>279</v>
      </c>
      <c r="AD29" s="22">
        <f>'[25]Arc Results'!$I$59</f>
        <v>279.00000000000102</v>
      </c>
      <c r="AE29" s="22">
        <f>'[25]Arc Results'!$I$114</f>
        <v>221.94712990936554</v>
      </c>
      <c r="AF29" s="22">
        <f>'[25]Arc Results'!$I$125</f>
        <v>246.90936555891238</v>
      </c>
      <c r="AG29" s="22">
        <f>'[25]Arc Results'!$I$147</f>
        <v>2788.3270392749246</v>
      </c>
      <c r="AH29" s="22">
        <f>'[25]Arc Results'!$I$158</f>
        <v>2819.2749244712991</v>
      </c>
      <c r="AI29" s="22">
        <f>'[25]Arc Results'!$I$213</f>
        <v>4387.1148036253771</v>
      </c>
      <c r="AJ29" s="22">
        <f>'[25]Arc Results'!$I$224</f>
        <v>4663.6253776435042</v>
      </c>
      <c r="AK29" s="22">
        <f>'[25]Arc Results'!$I$180</f>
        <v>3063</v>
      </c>
      <c r="AL29" s="22">
        <f>'[25]Arc Results'!$I$191</f>
        <v>3066.9999999999995</v>
      </c>
      <c r="AM29" s="22">
        <f>'[25]Arc Results'!$I$81</f>
        <v>2922.2611293051355</v>
      </c>
      <c r="AN29" s="22">
        <f>'[25]Arc Results'!$I$92</f>
        <v>3450.9901812688822</v>
      </c>
      <c r="AP29" s="9">
        <f t="shared" si="26"/>
        <v>1.263157894736842</v>
      </c>
      <c r="AQ29" s="9">
        <f t="shared" si="27"/>
        <v>1.0000000000000018</v>
      </c>
      <c r="AR29" s="9">
        <f t="shared" si="28"/>
        <v>1.0532406736193671</v>
      </c>
      <c r="AS29" s="9">
        <f t="shared" si="29"/>
        <v>1.0055189161777986</v>
      </c>
      <c r="AT29" s="9">
        <f t="shared" si="30"/>
        <v>1.0305511558701448</v>
      </c>
      <c r="AU29" s="9">
        <f t="shared" si="31"/>
        <v>1.0006525285481238</v>
      </c>
      <c r="AV29" s="9">
        <f t="shared" si="32"/>
        <v>1.0829606469599777</v>
      </c>
    </row>
    <row r="30" spans="1:48" ht="15.75">
      <c r="A30">
        <f t="shared" si="33"/>
        <v>26</v>
      </c>
      <c r="B30" s="9">
        <v>2020</v>
      </c>
      <c r="C30" s="9" t="s">
        <v>4</v>
      </c>
      <c r="D30" s="9" t="s">
        <v>88</v>
      </c>
      <c r="E30" s="7" t="s">
        <v>6</v>
      </c>
      <c r="F30" s="20" t="s">
        <v>87</v>
      </c>
      <c r="G30" s="7" t="s">
        <v>8</v>
      </c>
      <c r="H30" s="7" t="s">
        <v>9</v>
      </c>
      <c r="I30" s="9" t="s">
        <v>45</v>
      </c>
      <c r="J30" s="9">
        <v>500</v>
      </c>
      <c r="K30" s="9">
        <v>0.8</v>
      </c>
      <c r="L30" s="21">
        <f>'[26]Arc Results'!$I$10960+'[26]Arc Results'!$I$10971+'[26]Arc Results'!$I$10982+'[26]Arc Results'!$I$10993+'[26]Arc Results'!$I$11004+'[26]Arc Results'!$I$11015+'[26]Arc Results'!$I$11026+'[26]Arc Results'!$I$11037+'[26]Arc Results'!$I$11048+'[26]Arc Results'!$I$11059+'[26]Arc Results'!$I$11070+'[26]Arc Results'!$I$11081+'[26]Arc Results'!$I$11092+'[26]Arc Results'!$I$11103+'[26]Arc Results'!$I$11114+'[26]Arc Results'!$I$11125+'[26]Arc Results'!$I$11136+'[26]Arc Results'!$I$11147+'[26]Arc Results'!$I$11158+'[26]Arc Results'!$I$11169+'[26]Arc Results'!$I$11180+'[26]Arc Results'!$I$11191+'[26]Arc Results'!$I$11202+'[26]Arc Results'!$I$11213+'[26]Arc Results'!$I$11224+'[26]Arc Results'!$I$11235+'[26]Arc Results'!$I$11246+'[26]Arc Results'!$I$11257+'[26]Arc Results'!$I$11268</f>
        <v>3263.1294241691835</v>
      </c>
      <c r="M30" s="21">
        <f>'[26]Arc Results'!$I$257</f>
        <v>14299.710171428573</v>
      </c>
      <c r="N30" s="21">
        <f t="shared" si="34"/>
        <v>5582.843655589124</v>
      </c>
      <c r="O30" s="21">
        <f t="shared" si="35"/>
        <v>8849.8736670694834</v>
      </c>
      <c r="P30" s="22">
        <f t="shared" si="36"/>
        <v>5992.388217522659</v>
      </c>
      <c r="Q30" s="22">
        <f t="shared" si="37"/>
        <v>1313.5891238670695</v>
      </c>
      <c r="R30" s="22">
        <f t="shared" si="38"/>
        <v>374.00000000000045</v>
      </c>
      <c r="S30" s="22">
        <f t="shared" si="39"/>
        <v>289.30513595166161</v>
      </c>
      <c r="T30" s="22">
        <f t="shared" si="40"/>
        <v>6130</v>
      </c>
      <c r="U30" s="21"/>
      <c r="V30" s="21"/>
      <c r="W30" s="21"/>
      <c r="X30" s="23">
        <f t="shared" si="41"/>
        <v>0</v>
      </c>
      <c r="Y30" s="22"/>
      <c r="Z30" s="24">
        <f t="shared" si="42"/>
        <v>42831.709971428572</v>
      </c>
      <c r="AA30" s="22">
        <f>'[26]Arc Results'!$I$15</f>
        <v>108.48942598187311</v>
      </c>
      <c r="AB30" s="22">
        <f>'[26]Arc Results'!$I$26</f>
        <v>180.81570996978851</v>
      </c>
      <c r="AC30" s="22">
        <f>'[26]Arc Results'!$I$48</f>
        <v>562.34592145015108</v>
      </c>
      <c r="AD30" s="22">
        <f>'[26]Arc Results'!$I$59</f>
        <v>751.24320241691839</v>
      </c>
      <c r="AE30" s="22">
        <f>'[26]Arc Results'!$I$114</f>
        <v>187</v>
      </c>
      <c r="AF30" s="22">
        <f>'[26]Arc Results'!$I$125</f>
        <v>187.00000000000045</v>
      </c>
      <c r="AG30" s="22">
        <f>'[26]Arc Results'!$I$147</f>
        <v>2775.9478851963745</v>
      </c>
      <c r="AH30" s="22">
        <f>'[26]Arc Results'!$I$158</f>
        <v>2806.8957703927495</v>
      </c>
      <c r="AI30" s="22">
        <f>'[26]Arc Results'!$I$213</f>
        <v>4296.8525190332293</v>
      </c>
      <c r="AJ30" s="22">
        <f>'[26]Arc Results'!$I$224</f>
        <v>4553.0211480362541</v>
      </c>
      <c r="AK30" s="22">
        <f>'[26]Arc Results'!$I$180</f>
        <v>3063</v>
      </c>
      <c r="AL30" s="22">
        <f>'[26]Arc Results'!$I$191</f>
        <v>3066.9999999999995</v>
      </c>
      <c r="AM30" s="22">
        <f>'[26]Arc Results'!$I$81</f>
        <v>2768.7960725075527</v>
      </c>
      <c r="AN30" s="22">
        <f>'[26]Arc Results'!$I$92</f>
        <v>3223.5921450151059</v>
      </c>
      <c r="AP30" s="9">
        <f t="shared" si="26"/>
        <v>1.25</v>
      </c>
      <c r="AQ30" s="9">
        <f t="shared" si="27"/>
        <v>1.1438024093947075</v>
      </c>
      <c r="AR30" s="9">
        <f t="shared" si="28"/>
        <v>1.0000000000000011</v>
      </c>
      <c r="AS30" s="9">
        <f t="shared" si="29"/>
        <v>1.0055433909859526</v>
      </c>
      <c r="AT30" s="9">
        <f t="shared" si="30"/>
        <v>1.0289460209987213</v>
      </c>
      <c r="AU30" s="9">
        <f t="shared" si="31"/>
        <v>1.0006525285481238</v>
      </c>
      <c r="AV30" s="9">
        <f t="shared" si="32"/>
        <v>1.07589562892098</v>
      </c>
    </row>
    <row r="31" spans="1:48" ht="15.75">
      <c r="A31">
        <f t="shared" ref="A31:A56" si="43">A30+1</f>
        <v>27</v>
      </c>
      <c r="B31" s="9">
        <v>2020</v>
      </c>
      <c r="C31" s="9" t="s">
        <v>89</v>
      </c>
      <c r="D31" s="9" t="s">
        <v>5</v>
      </c>
      <c r="E31" s="7" t="s">
        <v>6</v>
      </c>
      <c r="F31" s="20" t="s">
        <v>7</v>
      </c>
      <c r="G31" s="7" t="s">
        <v>8</v>
      </c>
      <c r="H31" s="7" t="s">
        <v>9</v>
      </c>
      <c r="I31" s="9" t="s">
        <v>45</v>
      </c>
      <c r="J31" s="9">
        <v>500</v>
      </c>
      <c r="K31" s="9">
        <v>0.8</v>
      </c>
      <c r="L31" s="21">
        <f>'[27]Arc Results'!$I$10960+'[27]Arc Results'!$I$10971+'[27]Arc Results'!$I$10982+'[27]Arc Results'!$I$10993+'[27]Arc Results'!$I$11004+'[27]Arc Results'!$I$11015+'[27]Arc Results'!$I$11026+'[27]Arc Results'!$I$11037+'[27]Arc Results'!$I$11048+'[27]Arc Results'!$I$11059+'[27]Arc Results'!$I$11070+'[27]Arc Results'!$I$11081+'[27]Arc Results'!$I$11092+'[27]Arc Results'!$I$11103+'[27]Arc Results'!$I$11114+'[27]Arc Results'!$I$11125+'[27]Arc Results'!$I$11136+'[27]Arc Results'!$I$11147+'[27]Arc Results'!$I$11158+'[27]Arc Results'!$I$11169+'[27]Arc Results'!$I$11180+'[27]Arc Results'!$I$11191+'[27]Arc Results'!$I$11202+'[27]Arc Results'!$I$11213+'[27]Arc Results'!$I$11224+'[27]Arc Results'!$I$11235+'[27]Arc Results'!$I$11246+'[27]Arc Results'!$I$11257+'[27]Arc Results'!$I$11268</f>
        <v>3800.5590045195268</v>
      </c>
      <c r="M31" s="21">
        <f>'[27]Arc Results'!$I$257</f>
        <v>6165.6514285714456</v>
      </c>
      <c r="N31" s="21">
        <f t="shared" si="34"/>
        <v>5656.114864864865</v>
      </c>
      <c r="O31" s="21">
        <f t="shared" si="35"/>
        <v>9484.1891891891883</v>
      </c>
      <c r="P31" s="22">
        <f t="shared" si="36"/>
        <v>7110.1401716645396</v>
      </c>
      <c r="Q31" s="22">
        <f t="shared" si="37"/>
        <v>1825.3986486486488</v>
      </c>
      <c r="R31" s="22">
        <f t="shared" si="38"/>
        <v>507.98648648648651</v>
      </c>
      <c r="S31" s="22">
        <f t="shared" si="39"/>
        <v>485.2702702702702</v>
      </c>
      <c r="T31" s="22">
        <f t="shared" si="40"/>
        <v>7342.8921493900561</v>
      </c>
      <c r="U31" s="21"/>
      <c r="V31" s="21"/>
      <c r="W31" s="21"/>
      <c r="X31" s="23">
        <f t="shared" si="41"/>
        <v>0</v>
      </c>
      <c r="Y31" s="22"/>
      <c r="Z31" s="24">
        <f t="shared" si="42"/>
        <v>38577.643209085501</v>
      </c>
      <c r="AA31" s="22">
        <f>'[27]Arc Results'!$I$15</f>
        <v>184.86486486486484</v>
      </c>
      <c r="AB31" s="22">
        <f>'[27]Arc Results'!$I$26</f>
        <v>300.40540540540536</v>
      </c>
      <c r="AC31" s="22">
        <f>'[27]Arc Results'!$I$48</f>
        <v>761.81853281853284</v>
      </c>
      <c r="AD31" s="22">
        <f>'[27]Arc Results'!$I$59</f>
        <v>1063.5801158301158</v>
      </c>
      <c r="AE31" s="22">
        <f>'[27]Arc Results'!$I$114</f>
        <v>238.04247104247105</v>
      </c>
      <c r="AF31" s="22">
        <f>'[27]Arc Results'!$I$125</f>
        <v>269.94401544401546</v>
      </c>
      <c r="AG31" s="22">
        <f>'[27]Arc Results'!$I$147</f>
        <v>2808.2818532818533</v>
      </c>
      <c r="AH31" s="22">
        <f>'[27]Arc Results'!$I$158</f>
        <v>2847.8330115830117</v>
      </c>
      <c r="AI31" s="22">
        <f>'[27]Arc Results'!$I$213</f>
        <v>4565.405405405405</v>
      </c>
      <c r="AJ31" s="22">
        <f>'[27]Arc Results'!$I$224</f>
        <v>4918.7837837837833</v>
      </c>
      <c r="AK31" s="22">
        <f>'[27]Arc Results'!$I$180</f>
        <v>3650.478804438008</v>
      </c>
      <c r="AL31" s="22">
        <f>'[27]Arc Results'!$I$191</f>
        <v>3692.4133449520482</v>
      </c>
      <c r="AM31" s="22">
        <f>'[27]Arc Results'!$I$81</f>
        <v>3197.7690326684001</v>
      </c>
      <c r="AN31" s="22">
        <f>'[27]Arc Results'!$I$92</f>
        <v>3912.3711389961391</v>
      </c>
      <c r="AP31" s="9">
        <f t="shared" si="26"/>
        <v>1.2380952380952381</v>
      </c>
      <c r="AQ31" s="9">
        <f t="shared" si="27"/>
        <v>1.1653127020965959</v>
      </c>
      <c r="AR31" s="9">
        <f t="shared" si="28"/>
        <v>1.0627999863189137</v>
      </c>
      <c r="AS31" s="9">
        <f t="shared" si="29"/>
        <v>1.006992637039047</v>
      </c>
      <c r="AT31" s="9">
        <f t="shared" si="30"/>
        <v>1.0372597352635253</v>
      </c>
      <c r="AU31" s="9">
        <f t="shared" si="31"/>
        <v>1.0057109024156814</v>
      </c>
      <c r="AV31" s="9">
        <f t="shared" si="32"/>
        <v>1.1005046439415616</v>
      </c>
    </row>
    <row r="32" spans="1:48" ht="15.75">
      <c r="A32">
        <f t="shared" si="43"/>
        <v>28</v>
      </c>
      <c r="B32" s="9">
        <v>2020</v>
      </c>
      <c r="C32" s="9" t="s">
        <v>89</v>
      </c>
      <c r="D32" s="9" t="s">
        <v>5</v>
      </c>
      <c r="E32" s="7" t="s">
        <v>6</v>
      </c>
      <c r="F32" s="20" t="s">
        <v>76</v>
      </c>
      <c r="G32" s="7" t="s">
        <v>8</v>
      </c>
      <c r="H32" s="7" t="s">
        <v>9</v>
      </c>
      <c r="I32" s="9" t="s">
        <v>45</v>
      </c>
      <c r="J32" s="9">
        <v>500</v>
      </c>
      <c r="K32" s="9">
        <v>0.8</v>
      </c>
      <c r="L32" s="21">
        <f>'[28]Arc Results'!$I$10960+'[28]Arc Results'!$I$10971+'[28]Arc Results'!$I$10982+'[28]Arc Results'!$I$10993+'[28]Arc Results'!$I$11004+'[28]Arc Results'!$I$11015+'[28]Arc Results'!$I$11026+'[28]Arc Results'!$I$11037+'[28]Arc Results'!$I$11048+'[28]Arc Results'!$I$11059+'[28]Arc Results'!$I$11070+'[28]Arc Results'!$I$11081+'[28]Arc Results'!$I$11092+'[28]Arc Results'!$I$11103+'[28]Arc Results'!$I$11114+'[28]Arc Results'!$I$11125+'[28]Arc Results'!$I$11136+'[28]Arc Results'!$I$11147+'[28]Arc Results'!$I$11158+'[28]Arc Results'!$I$11169+'[28]Arc Results'!$I$11180+'[28]Arc Results'!$I$11191+'[28]Arc Results'!$I$11202+'[28]Arc Results'!$I$11213+'[28]Arc Results'!$I$11224+'[28]Arc Results'!$I$11235+'[28]Arc Results'!$I$11246+'[28]Arc Results'!$I$11257+'[28]Arc Results'!$I$11268</f>
        <v>3885.233026977688</v>
      </c>
      <c r="M32" s="21">
        <f>'[28]Arc Results'!$I$257</f>
        <v>6165.6514285714511</v>
      </c>
      <c r="N32" s="21">
        <f t="shared" si="34"/>
        <v>8256.3552222222188</v>
      </c>
      <c r="O32" s="21">
        <f t="shared" si="35"/>
        <v>8878.3895440634042</v>
      </c>
      <c r="P32" s="22">
        <f t="shared" si="36"/>
        <v>5935.7582046332045</v>
      </c>
      <c r="Q32" s="22">
        <f t="shared" si="37"/>
        <v>1342.5801158301158</v>
      </c>
      <c r="R32" s="22">
        <f t="shared" si="38"/>
        <v>450.56370656370655</v>
      </c>
      <c r="S32" s="22">
        <f t="shared" si="39"/>
        <v>277.29729729729729</v>
      </c>
      <c r="T32" s="22">
        <f t="shared" si="40"/>
        <v>7342.8921493900561</v>
      </c>
      <c r="U32" s="21"/>
      <c r="V32" s="21"/>
      <c r="W32" s="21"/>
      <c r="X32" s="23">
        <f t="shared" si="41"/>
        <v>0</v>
      </c>
      <c r="Y32" s="22"/>
      <c r="Z32" s="24">
        <f t="shared" si="42"/>
        <v>38649.487668571448</v>
      </c>
      <c r="AA32" s="22">
        <f>'[28]Arc Results'!$I$15</f>
        <v>92.432432432432421</v>
      </c>
      <c r="AB32" s="22">
        <f>'[28]Arc Results'!$I$26</f>
        <v>184.86486486486484</v>
      </c>
      <c r="AC32" s="22">
        <f>'[28]Arc Results'!$I$48</f>
        <v>520.40926640926637</v>
      </c>
      <c r="AD32" s="22">
        <f>'[28]Arc Results'!$I$59</f>
        <v>822.17084942084944</v>
      </c>
      <c r="AE32" s="22">
        <f>'[28]Arc Results'!$I$114</f>
        <v>212.52123552123552</v>
      </c>
      <c r="AF32" s="22">
        <f>'[28]Arc Results'!$I$125</f>
        <v>238.04247104247105</v>
      </c>
      <c r="AG32" s="22">
        <f>'[28]Arc Results'!$I$147</f>
        <v>4128.1776111111085</v>
      </c>
      <c r="AH32" s="22">
        <f>'[28]Arc Results'!$I$158</f>
        <v>4128.1776111111103</v>
      </c>
      <c r="AI32" s="22">
        <f>'[28]Arc Results'!$I$213</f>
        <v>4282.7027027027025</v>
      </c>
      <c r="AJ32" s="22">
        <f>'[28]Arc Results'!$I$224</f>
        <v>4595.6868413607008</v>
      </c>
      <c r="AK32" s="22">
        <f>'[28]Arc Results'!$I$180</f>
        <v>3650.4788044380084</v>
      </c>
      <c r="AL32" s="22">
        <f>'[28]Arc Results'!$I$191</f>
        <v>3692.4133449520482</v>
      </c>
      <c r="AM32" s="22">
        <f>'[28]Arc Results'!$I$81</f>
        <v>2604.6129343629345</v>
      </c>
      <c r="AN32" s="22">
        <f>'[28]Arc Results'!$I$92</f>
        <v>3331.14527027027</v>
      </c>
      <c r="AP32" s="9">
        <f t="shared" si="26"/>
        <v>1.3333333333333333</v>
      </c>
      <c r="AQ32" s="9">
        <f t="shared" si="27"/>
        <v>1.2247624402101354</v>
      </c>
      <c r="AR32" s="9">
        <f t="shared" si="28"/>
        <v>1.0566429012134093</v>
      </c>
      <c r="AS32" s="9">
        <f t="shared" si="29"/>
        <v>1.0000000000000002</v>
      </c>
      <c r="AT32" s="9">
        <f t="shared" si="30"/>
        <v>1.0352523548448351</v>
      </c>
      <c r="AU32" s="9">
        <f t="shared" si="31"/>
        <v>1.0057109024156814</v>
      </c>
      <c r="AV32" s="9">
        <f t="shared" si="32"/>
        <v>1.1223992472166799</v>
      </c>
    </row>
    <row r="33" spans="1:48" ht="15.75">
      <c r="A33">
        <f t="shared" si="43"/>
        <v>29</v>
      </c>
      <c r="B33" s="9">
        <v>2020</v>
      </c>
      <c r="C33" s="9" t="s">
        <v>89</v>
      </c>
      <c r="D33" s="9" t="s">
        <v>5</v>
      </c>
      <c r="E33" s="7" t="s">
        <v>6</v>
      </c>
      <c r="F33" s="20" t="s">
        <v>77</v>
      </c>
      <c r="G33" s="7" t="s">
        <v>8</v>
      </c>
      <c r="H33" s="7" t="s">
        <v>9</v>
      </c>
      <c r="I33" s="9" t="s">
        <v>45</v>
      </c>
      <c r="J33" s="9">
        <v>500</v>
      </c>
      <c r="K33" s="9">
        <v>0.8</v>
      </c>
      <c r="L33" s="21">
        <f>'[29]Arc Results'!$I$10960+'[29]Arc Results'!$I$10971+'[29]Arc Results'!$I$10982+'[29]Arc Results'!$I$10993+'[29]Arc Results'!$I$11004+'[29]Arc Results'!$I$11015+'[29]Arc Results'!$I$11026+'[29]Arc Results'!$I$11037+'[29]Arc Results'!$I$11048+'[29]Arc Results'!$I$11059+'[29]Arc Results'!$I$11070+'[29]Arc Results'!$I$11081+'[29]Arc Results'!$I$11092+'[29]Arc Results'!$I$11103+'[29]Arc Results'!$I$11114+'[29]Arc Results'!$I$11125+'[29]Arc Results'!$I$11136+'[29]Arc Results'!$I$11147+'[29]Arc Results'!$I$11158+'[29]Arc Results'!$I$11169+'[29]Arc Results'!$I$11180+'[29]Arc Results'!$I$11191+'[29]Arc Results'!$I$11202+'[29]Arc Results'!$I$11213+'[29]Arc Results'!$I$11224+'[29]Arc Results'!$I$11235+'[29]Arc Results'!$I$11246+'[29]Arc Results'!$I$11257+'[29]Arc Results'!$I$11268</f>
        <v>1798.5143473184885</v>
      </c>
      <c r="M33" s="21">
        <f>'[29]Arc Results'!$I$257</f>
        <v>6165.6514285714238</v>
      </c>
      <c r="N33" s="21">
        <f t="shared" si="34"/>
        <v>3019.3644269677438</v>
      </c>
      <c r="O33" s="21">
        <f t="shared" si="35"/>
        <v>17328.001551410271</v>
      </c>
      <c r="P33" s="22">
        <f t="shared" si="36"/>
        <v>4000.4638276810542</v>
      </c>
      <c r="Q33" s="22">
        <f t="shared" si="37"/>
        <v>859.76158301158296</v>
      </c>
      <c r="R33" s="22">
        <f t="shared" si="38"/>
        <v>362.54388421737525</v>
      </c>
      <c r="S33" s="22">
        <f t="shared" si="39"/>
        <v>92.432432432432421</v>
      </c>
      <c r="T33" s="22">
        <f t="shared" si="40"/>
        <v>6821.2685342795421</v>
      </c>
      <c r="U33" s="21"/>
      <c r="V33" s="21"/>
      <c r="W33" s="21"/>
      <c r="X33" s="23">
        <f t="shared" si="41"/>
        <v>0</v>
      </c>
      <c r="Y33" s="22"/>
      <c r="Z33" s="24">
        <f t="shared" si="42"/>
        <v>38649.487668571426</v>
      </c>
      <c r="AA33" s="22">
        <f>'[29]Arc Results'!$I$15</f>
        <v>0</v>
      </c>
      <c r="AB33" s="22">
        <f>'[29]Arc Results'!$I$26</f>
        <v>92.432432432432421</v>
      </c>
      <c r="AC33" s="22">
        <f>'[29]Arc Results'!$I$48</f>
        <v>339.35231660231659</v>
      </c>
      <c r="AD33" s="22">
        <f>'[29]Arc Results'!$I$59</f>
        <v>520.40926640926637</v>
      </c>
      <c r="AE33" s="22">
        <f>'[29]Arc Results'!$I$114</f>
        <v>150.02264869613973</v>
      </c>
      <c r="AF33" s="22">
        <f>'[29]Arc Results'!$I$125</f>
        <v>212.52123552123552</v>
      </c>
      <c r="AG33" s="22">
        <f>'[29]Arc Results'!$I$147</f>
        <v>242.72350032681703</v>
      </c>
      <c r="AH33" s="22">
        <f>'[29]Arc Results'!$I$158</f>
        <v>2776.6409266409269</v>
      </c>
      <c r="AI33" s="22">
        <f>'[29]Arc Results'!$I$213</f>
        <v>8048.9805757051381</v>
      </c>
      <c r="AJ33" s="22">
        <f>'[29]Arc Results'!$I$224</f>
        <v>9279.0209757051325</v>
      </c>
      <c r="AK33" s="22">
        <f>'[29]Arc Results'!$I$180</f>
        <v>3227.6863726699603</v>
      </c>
      <c r="AL33" s="22">
        <f>'[29]Arc Results'!$I$191</f>
        <v>3593.5821616095818</v>
      </c>
      <c r="AM33" s="22">
        <f>'[29]Arc Results'!$I$81</f>
        <v>1395.8508933181197</v>
      </c>
      <c r="AN33" s="22">
        <f>'[29]Arc Results'!$I$92</f>
        <v>2604.6129343629345</v>
      </c>
      <c r="AP33" s="9">
        <f t="shared" si="26"/>
        <v>2</v>
      </c>
      <c r="AQ33" s="9">
        <f t="shared" si="27"/>
        <v>1.2105897185737717</v>
      </c>
      <c r="AR33" s="9">
        <f t="shared" si="28"/>
        <v>1.1723890252900326</v>
      </c>
      <c r="AS33" s="9">
        <f t="shared" si="29"/>
        <v>1.8392221235973314</v>
      </c>
      <c r="AT33" s="9">
        <f t="shared" si="30"/>
        <v>1.0709857046325049</v>
      </c>
      <c r="AU33" s="9">
        <f t="shared" si="31"/>
        <v>1.0536404317028207</v>
      </c>
      <c r="AV33" s="9">
        <f t="shared" si="32"/>
        <v>1.3021554732430856</v>
      </c>
    </row>
    <row r="34" spans="1:48" ht="15.75">
      <c r="A34">
        <f t="shared" si="43"/>
        <v>30</v>
      </c>
      <c r="B34" s="9">
        <v>2020</v>
      </c>
      <c r="C34" s="9" t="s">
        <v>89</v>
      </c>
      <c r="D34" s="9" t="s">
        <v>5</v>
      </c>
      <c r="E34" s="7" t="s">
        <v>6</v>
      </c>
      <c r="F34" s="20" t="s">
        <v>78</v>
      </c>
      <c r="G34" s="7" t="s">
        <v>8</v>
      </c>
      <c r="H34" s="7" t="s">
        <v>9</v>
      </c>
      <c r="I34" s="9" t="s">
        <v>45</v>
      </c>
      <c r="J34" s="9">
        <v>500</v>
      </c>
      <c r="K34" s="9">
        <v>0.8</v>
      </c>
      <c r="L34" s="21">
        <f>'[30]Arc Results'!$I$10960+'[30]Arc Results'!$I$10971+'[30]Arc Results'!$I$10982+'[30]Arc Results'!$I$10993+'[30]Arc Results'!$I$11004+'[30]Arc Results'!$I$11015+'[30]Arc Results'!$I$11026+'[30]Arc Results'!$I$11037+'[30]Arc Results'!$I$11048+'[30]Arc Results'!$I$11059+'[30]Arc Results'!$I$11070+'[30]Arc Results'!$I$11081+'[30]Arc Results'!$I$11092+'[30]Arc Results'!$I$11103+'[30]Arc Results'!$I$11114+'[30]Arc Results'!$I$11125+'[30]Arc Results'!$I$11136+'[30]Arc Results'!$I$11147+'[30]Arc Results'!$I$11158+'[30]Arc Results'!$I$11169+'[30]Arc Results'!$I$11180+'[30]Arc Results'!$I$11191+'[30]Arc Results'!$I$11202+'[30]Arc Results'!$I$11213+'[30]Arc Results'!$I$11224+'[30]Arc Results'!$I$11235+'[30]Arc Results'!$I$11246+'[30]Arc Results'!$I$11257+'[30]Arc Results'!$I$11268</f>
        <v>690.87715918850154</v>
      </c>
      <c r="M34" s="21">
        <f>'[30]Arc Results'!$I$257</f>
        <v>6165.6514285714393</v>
      </c>
      <c r="N34" s="21">
        <f t="shared" si="34"/>
        <v>2940.1734552764115</v>
      </c>
      <c r="O34" s="21">
        <f t="shared" si="35"/>
        <v>6267.5361514547239</v>
      </c>
      <c r="P34" s="22">
        <f t="shared" si="36"/>
        <v>15294.210716965037</v>
      </c>
      <c r="Q34" s="22">
        <f t="shared" si="37"/>
        <v>799.40926640926637</v>
      </c>
      <c r="R34" s="22">
        <f t="shared" si="38"/>
        <v>347.04123552123554</v>
      </c>
      <c r="S34" s="22">
        <f t="shared" si="39"/>
        <v>92.432432432432421</v>
      </c>
      <c r="T34" s="22">
        <f t="shared" si="40"/>
        <v>6743.0329819408944</v>
      </c>
      <c r="U34" s="21"/>
      <c r="V34" s="21"/>
      <c r="W34" s="21"/>
      <c r="X34" s="23">
        <f t="shared" si="41"/>
        <v>0</v>
      </c>
      <c r="Y34" s="22"/>
      <c r="Z34" s="24">
        <f t="shared" si="42"/>
        <v>38649.487668571441</v>
      </c>
      <c r="AA34" s="22">
        <f>'[30]Arc Results'!$I$15</f>
        <v>0</v>
      </c>
      <c r="AB34" s="22">
        <f>'[30]Arc Results'!$I$26</f>
        <v>92.432432432432421</v>
      </c>
      <c r="AC34" s="22">
        <f>'[30]Arc Results'!$I$48</f>
        <v>279</v>
      </c>
      <c r="AD34" s="22">
        <f>'[30]Arc Results'!$I$59</f>
        <v>520.40926640926637</v>
      </c>
      <c r="AE34" s="22">
        <f>'[30]Arc Results'!$I$114</f>
        <v>134.52000000000004</v>
      </c>
      <c r="AF34" s="22">
        <f>'[30]Arc Results'!$I$125</f>
        <v>212.52123552123552</v>
      </c>
      <c r="AG34" s="22">
        <f>'[30]Arc Results'!$I$147</f>
        <v>492.69604616295919</v>
      </c>
      <c r="AH34" s="22">
        <f>'[30]Arc Results'!$I$158</f>
        <v>2447.4774091134523</v>
      </c>
      <c r="AI34" s="22">
        <f>'[30]Arc Results'!$I$213</f>
        <v>1984.8334487520215</v>
      </c>
      <c r="AJ34" s="22">
        <f>'[30]Arc Results'!$I$224</f>
        <v>4282.7027027027025</v>
      </c>
      <c r="AK34" s="22">
        <f>'[30]Arc Results'!$I$180</f>
        <v>3111.3244276372466</v>
      </c>
      <c r="AL34" s="22">
        <f>'[30]Arc Results'!$I$191</f>
        <v>3631.7085543036478</v>
      </c>
      <c r="AM34" s="22">
        <f>'[30]Arc Results'!$I$81</f>
        <v>6294.6051966362702</v>
      </c>
      <c r="AN34" s="22">
        <f>'[30]Arc Results'!$I$92</f>
        <v>8999.6055203287669</v>
      </c>
      <c r="AP34" s="9">
        <f t="shared" si="26"/>
        <v>2</v>
      </c>
      <c r="AQ34" s="9">
        <f t="shared" si="27"/>
        <v>1.3019845735509328</v>
      </c>
      <c r="AR34" s="9">
        <f t="shared" si="28"/>
        <v>1.2247607129570128</v>
      </c>
      <c r="AS34" s="9">
        <f t="shared" si="29"/>
        <v>1.6648523948280869</v>
      </c>
      <c r="AT34" s="9">
        <f t="shared" si="30"/>
        <v>1.366630394850987</v>
      </c>
      <c r="AU34" s="9">
        <f t="shared" si="31"/>
        <v>1.0771735994855858</v>
      </c>
      <c r="AV34" s="9">
        <f t="shared" si="32"/>
        <v>1.1768643295003114</v>
      </c>
    </row>
    <row r="35" spans="1:48" ht="15.75">
      <c r="A35">
        <f t="shared" si="43"/>
        <v>31</v>
      </c>
      <c r="B35" s="9">
        <v>2020</v>
      </c>
      <c r="C35" s="9" t="s">
        <v>89</v>
      </c>
      <c r="D35" s="9" t="s">
        <v>5</v>
      </c>
      <c r="E35" s="7" t="s">
        <v>6</v>
      </c>
      <c r="F35" s="20" t="s">
        <v>79</v>
      </c>
      <c r="G35" s="7" t="s">
        <v>8</v>
      </c>
      <c r="H35" s="7" t="s">
        <v>9</v>
      </c>
      <c r="I35" s="9" t="s">
        <v>45</v>
      </c>
      <c r="J35" s="9">
        <v>500</v>
      </c>
      <c r="K35" s="9">
        <v>0.8</v>
      </c>
      <c r="L35" s="21">
        <f>'[31]Arc Results'!$I$10960+'[31]Arc Results'!$I$10971+'[31]Arc Results'!$I$10982+'[31]Arc Results'!$I$10993+'[31]Arc Results'!$I$11004+'[31]Arc Results'!$I$11015+'[31]Arc Results'!$I$11026+'[31]Arc Results'!$I$11037+'[31]Arc Results'!$I$11048+'[31]Arc Results'!$I$11059+'[31]Arc Results'!$I$11070+'[31]Arc Results'!$I$11081+'[31]Arc Results'!$I$11092+'[31]Arc Results'!$I$11103+'[31]Arc Results'!$I$11114+'[31]Arc Results'!$I$11125+'[31]Arc Results'!$I$11136+'[31]Arc Results'!$I$11147+'[31]Arc Results'!$I$11158+'[31]Arc Results'!$I$11169+'[31]Arc Results'!$I$11180+'[31]Arc Results'!$I$11191+'[31]Arc Results'!$I$11202+'[31]Arc Results'!$I$11213+'[31]Arc Results'!$I$11224+'[31]Arc Results'!$I$11235+'[31]Arc Results'!$I$11246+'[31]Arc Results'!$I$11257+'[31]Arc Results'!$I$11268</f>
        <v>3938.7639100750716</v>
      </c>
      <c r="M35" s="21">
        <f>'[31]Arc Results'!$I$257</f>
        <v>6165.6514285714429</v>
      </c>
      <c r="N35" s="21">
        <f t="shared" si="34"/>
        <v>5648.2046332046339</v>
      </c>
      <c r="O35" s="21">
        <f t="shared" si="35"/>
        <v>9413.5135135135133</v>
      </c>
      <c r="P35" s="22">
        <f t="shared" si="36"/>
        <v>7070.7289747533287</v>
      </c>
      <c r="Q35" s="22">
        <f t="shared" si="37"/>
        <v>1765.0463320463321</v>
      </c>
      <c r="R35" s="22">
        <f t="shared" si="38"/>
        <v>501.6061776061776</v>
      </c>
      <c r="S35" s="22">
        <f t="shared" si="39"/>
        <v>670</v>
      </c>
      <c r="T35" s="22">
        <f t="shared" si="40"/>
        <v>7342.8921493900561</v>
      </c>
      <c r="U35" s="21"/>
      <c r="V35" s="21"/>
      <c r="W35" s="21"/>
      <c r="X35" s="23">
        <f t="shared" si="41"/>
        <v>0</v>
      </c>
      <c r="Y35" s="22"/>
      <c r="Z35" s="24">
        <f t="shared" si="42"/>
        <v>38577.64320908548</v>
      </c>
      <c r="AA35" s="22">
        <f>'[31]Arc Results'!$I$15</f>
        <v>335</v>
      </c>
      <c r="AB35" s="22">
        <f>'[31]Arc Results'!$I$26</f>
        <v>335</v>
      </c>
      <c r="AC35" s="22">
        <f>'[31]Arc Results'!$I$48</f>
        <v>761.81853281853284</v>
      </c>
      <c r="AD35" s="22">
        <f>'[31]Arc Results'!$I$59</f>
        <v>1003.2277992277992</v>
      </c>
      <c r="AE35" s="22">
        <f>'[31]Arc Results'!$I$114</f>
        <v>238.04247104247105</v>
      </c>
      <c r="AF35" s="22">
        <f>'[31]Arc Results'!$I$125</f>
        <v>263.56370656370655</v>
      </c>
      <c r="AG35" s="22">
        <f>'[31]Arc Results'!$I$147</f>
        <v>2808.2818532818533</v>
      </c>
      <c r="AH35" s="22">
        <f>'[31]Arc Results'!$I$158</f>
        <v>2839.9227799227801</v>
      </c>
      <c r="AI35" s="22">
        <f>'[31]Arc Results'!$I$213</f>
        <v>4565.405405405405</v>
      </c>
      <c r="AJ35" s="22">
        <f>'[31]Arc Results'!$I$224</f>
        <v>4848.1081081081084</v>
      </c>
      <c r="AK35" s="22">
        <f>'[31]Arc Results'!$I$180</f>
        <v>3650.478804438008</v>
      </c>
      <c r="AL35" s="22">
        <f>'[31]Arc Results'!$I$191</f>
        <v>3692.4133449520482</v>
      </c>
      <c r="AM35" s="22">
        <f>'[31]Arc Results'!$I$81</f>
        <v>3185.8388030888032</v>
      </c>
      <c r="AN35" s="22">
        <f>'[31]Arc Results'!$I$92</f>
        <v>3884.890171664526</v>
      </c>
      <c r="AP35" s="9">
        <f t="shared" si="26"/>
        <v>1</v>
      </c>
      <c r="AQ35" s="9">
        <f t="shared" si="27"/>
        <v>1.1367721980019556</v>
      </c>
      <c r="AR35" s="9">
        <f t="shared" si="28"/>
        <v>1.0508790295267711</v>
      </c>
      <c r="AS35" s="9">
        <f t="shared" si="29"/>
        <v>1.0056019441036035</v>
      </c>
      <c r="AT35" s="9">
        <f t="shared" si="30"/>
        <v>1.0300315819695665</v>
      </c>
      <c r="AU35" s="9">
        <f t="shared" si="31"/>
        <v>1.0057109024156814</v>
      </c>
      <c r="AV35" s="9">
        <f t="shared" si="32"/>
        <v>1.0988655301414818</v>
      </c>
    </row>
    <row r="36" spans="1:48" ht="15.75">
      <c r="A36">
        <f t="shared" si="43"/>
        <v>32</v>
      </c>
      <c r="B36" s="9">
        <v>2020</v>
      </c>
      <c r="C36" s="9" t="s">
        <v>89</v>
      </c>
      <c r="D36" s="9" t="s">
        <v>5</v>
      </c>
      <c r="E36" s="7" t="s">
        <v>6</v>
      </c>
      <c r="F36" s="20" t="s">
        <v>80</v>
      </c>
      <c r="G36" s="7" t="s">
        <v>8</v>
      </c>
      <c r="H36" s="7" t="s">
        <v>9</v>
      </c>
      <c r="I36" s="9" t="s">
        <v>45</v>
      </c>
      <c r="J36" s="9">
        <v>500</v>
      </c>
      <c r="K36" s="9">
        <v>0.8</v>
      </c>
      <c r="L36" s="21">
        <f>'[32]Arc Results'!$I$10960+'[32]Arc Results'!$I$10971+'[32]Arc Results'!$I$10982+'[32]Arc Results'!$I$10993+'[32]Arc Results'!$I$11004+'[32]Arc Results'!$I$11015+'[32]Arc Results'!$I$11026+'[32]Arc Results'!$I$11037+'[32]Arc Results'!$I$11048+'[32]Arc Results'!$I$11059+'[32]Arc Results'!$I$11070+'[32]Arc Results'!$I$11081+'[32]Arc Results'!$I$11092+'[32]Arc Results'!$I$11103+'[32]Arc Results'!$I$11114+'[32]Arc Results'!$I$11125+'[32]Arc Results'!$I$11136+'[32]Arc Results'!$I$11147+'[32]Arc Results'!$I$11158+'[32]Arc Results'!$I$11169+'[32]Arc Results'!$I$11180+'[32]Arc Results'!$I$11191+'[32]Arc Results'!$I$11202+'[32]Arc Results'!$I$11213+'[32]Arc Results'!$I$11224+'[32]Arc Results'!$I$11235+'[32]Arc Results'!$I$11246+'[32]Arc Results'!$I$11257+'[32]Arc Results'!$I$11268</f>
        <v>4006.7567458587669</v>
      </c>
      <c r="M36" s="21">
        <f>'[32]Arc Results'!$I$257</f>
        <v>6165.6514285714411</v>
      </c>
      <c r="N36" s="21">
        <f t="shared" si="34"/>
        <v>5592.8330115830122</v>
      </c>
      <c r="O36" s="21">
        <f t="shared" si="35"/>
        <v>8918.7837837837833</v>
      </c>
      <c r="P36" s="22">
        <f t="shared" si="36"/>
        <v>5986.4778743937331</v>
      </c>
      <c r="Q36" s="22">
        <f t="shared" si="37"/>
        <v>3885.5</v>
      </c>
      <c r="R36" s="22">
        <f t="shared" si="38"/>
        <v>456.94401544401546</v>
      </c>
      <c r="S36" s="22">
        <f t="shared" si="39"/>
        <v>300.40540540540536</v>
      </c>
      <c r="T36" s="22">
        <f t="shared" si="40"/>
        <v>7342.8921493900571</v>
      </c>
      <c r="U36" s="21"/>
      <c r="V36" s="21"/>
      <c r="W36" s="21"/>
      <c r="X36" s="23">
        <f t="shared" si="41"/>
        <v>0</v>
      </c>
      <c r="Y36" s="22"/>
      <c r="Z36" s="24">
        <f t="shared" si="42"/>
        <v>38649.487668571448</v>
      </c>
      <c r="AA36" s="22">
        <f>'[32]Arc Results'!$I$15</f>
        <v>92.432432432432421</v>
      </c>
      <c r="AB36" s="22">
        <f>'[32]Arc Results'!$I$26</f>
        <v>207.97297297297294</v>
      </c>
      <c r="AC36" s="22">
        <f>'[32]Arc Results'!$I$48</f>
        <v>1942.75</v>
      </c>
      <c r="AD36" s="22">
        <f>'[32]Arc Results'!$I$59</f>
        <v>1942.75</v>
      </c>
      <c r="AE36" s="22">
        <f>'[32]Arc Results'!$I$114</f>
        <v>212.52123552123552</v>
      </c>
      <c r="AF36" s="22">
        <f>'[32]Arc Results'!$I$125</f>
        <v>244.42277992277991</v>
      </c>
      <c r="AG36" s="22">
        <f>'[32]Arc Results'!$I$147</f>
        <v>2776.6409266409269</v>
      </c>
      <c r="AH36" s="22">
        <f>'[32]Arc Results'!$I$158</f>
        <v>2816.1920849420849</v>
      </c>
      <c r="AI36" s="22">
        <f>'[32]Arc Results'!$I$213</f>
        <v>4282.7027027027025</v>
      </c>
      <c r="AJ36" s="22">
        <f>'[32]Arc Results'!$I$224</f>
        <v>4636.0810810810808</v>
      </c>
      <c r="AK36" s="22">
        <f>'[32]Arc Results'!$I$180</f>
        <v>3650.4788044380089</v>
      </c>
      <c r="AL36" s="22">
        <f>'[32]Arc Results'!$I$191</f>
        <v>3692.4133449520482</v>
      </c>
      <c r="AM36" s="22">
        <f>'[32]Arc Results'!$I$81</f>
        <v>2655.3326041234636</v>
      </c>
      <c r="AN36" s="22">
        <f>'[32]Arc Results'!$I$92</f>
        <v>3331.14527027027</v>
      </c>
      <c r="AP36" s="9">
        <f t="shared" si="26"/>
        <v>1.3846153846153846</v>
      </c>
      <c r="AQ36" s="9">
        <f t="shared" si="27"/>
        <v>1</v>
      </c>
      <c r="AR36" s="9">
        <f t="shared" si="28"/>
        <v>1.0698149955428247</v>
      </c>
      <c r="AS36" s="9">
        <f t="shared" si="29"/>
        <v>1.0070717574115382</v>
      </c>
      <c r="AT36" s="9">
        <f t="shared" si="30"/>
        <v>1.0396218124517038</v>
      </c>
      <c r="AU36" s="9">
        <f t="shared" si="31"/>
        <v>1.0057109024156814</v>
      </c>
      <c r="AV36" s="9">
        <f t="shared" si="32"/>
        <v>1.1128898628419717</v>
      </c>
    </row>
    <row r="37" spans="1:48" ht="15.75">
      <c r="A37">
        <f t="shared" si="43"/>
        <v>33</v>
      </c>
      <c r="B37" s="9">
        <v>2020</v>
      </c>
      <c r="C37" s="9" t="s">
        <v>89</v>
      </c>
      <c r="D37" s="9" t="s">
        <v>5</v>
      </c>
      <c r="E37" s="7" t="s">
        <v>6</v>
      </c>
      <c r="F37" s="20" t="s">
        <v>81</v>
      </c>
      <c r="G37" s="7" t="s">
        <v>8</v>
      </c>
      <c r="H37" s="7" t="s">
        <v>9</v>
      </c>
      <c r="I37" s="9" t="s">
        <v>45</v>
      </c>
      <c r="J37" s="9">
        <v>500</v>
      </c>
      <c r="K37" s="9">
        <v>0.8</v>
      </c>
      <c r="L37" s="21">
        <f>'[33]Arc Results'!$I$10960+'[33]Arc Results'!$I$10971+'[33]Arc Results'!$I$10982+'[33]Arc Results'!$I$10993+'[33]Arc Results'!$I$11004+'[33]Arc Results'!$I$11015+'[33]Arc Results'!$I$11026+'[33]Arc Results'!$I$11037+'[33]Arc Results'!$I$11048+'[33]Arc Results'!$I$11059+'[33]Arc Results'!$I$11070+'[33]Arc Results'!$I$11081+'[33]Arc Results'!$I$11092+'[33]Arc Results'!$I$11103+'[33]Arc Results'!$I$11114+'[33]Arc Results'!$I$11125+'[33]Arc Results'!$I$11136+'[33]Arc Results'!$I$11147+'[33]Arc Results'!$I$11158+'[33]Arc Results'!$I$11169+'[33]Arc Results'!$I$11180+'[33]Arc Results'!$I$11191+'[33]Arc Results'!$I$11202+'[33]Arc Results'!$I$11213+'[33]Arc Results'!$I$11224+'[33]Arc Results'!$I$11235+'[33]Arc Results'!$I$11246+'[33]Arc Results'!$I$11257+'[33]Arc Results'!$I$11268</f>
        <v>3886.8863038974641</v>
      </c>
      <c r="M37" s="21">
        <f>'[33]Arc Results'!$I$257</f>
        <v>6165.6514285714311</v>
      </c>
      <c r="N37" s="21">
        <f t="shared" si="34"/>
        <v>5648.2046332046339</v>
      </c>
      <c r="O37" s="21">
        <f t="shared" si="35"/>
        <v>9413.5135135135133</v>
      </c>
      <c r="P37" s="22">
        <f t="shared" si="36"/>
        <v>7098.2099420849427</v>
      </c>
      <c r="Q37" s="22">
        <f t="shared" si="37"/>
        <v>1774.4093801587392</v>
      </c>
      <c r="R37" s="22">
        <f t="shared" si="38"/>
        <v>672.6</v>
      </c>
      <c r="S37" s="22">
        <f t="shared" si="39"/>
        <v>462.16216216216208</v>
      </c>
      <c r="T37" s="22">
        <f t="shared" si="40"/>
        <v>7342.8921493900561</v>
      </c>
      <c r="U37" s="21"/>
      <c r="V37" s="21"/>
      <c r="W37" s="21"/>
      <c r="X37" s="23">
        <f t="shared" si="41"/>
        <v>0</v>
      </c>
      <c r="Y37" s="22"/>
      <c r="Z37" s="24">
        <f t="shared" si="42"/>
        <v>38577.64320908548</v>
      </c>
      <c r="AA37" s="22">
        <f>'[33]Arc Results'!$I$15</f>
        <v>184.86486486486484</v>
      </c>
      <c r="AB37" s="22">
        <f>'[33]Arc Results'!$I$26</f>
        <v>277.29729729729723</v>
      </c>
      <c r="AC37" s="22">
        <f>'[33]Arc Results'!$I$48</f>
        <v>761.81853281853284</v>
      </c>
      <c r="AD37" s="22">
        <f>'[33]Arc Results'!$I$59</f>
        <v>1012.5908473402063</v>
      </c>
      <c r="AE37" s="22">
        <f>'[33]Arc Results'!$I$114</f>
        <v>336.3</v>
      </c>
      <c r="AF37" s="22">
        <f>'[33]Arc Results'!$I$125</f>
        <v>336.3</v>
      </c>
      <c r="AG37" s="22">
        <f>'[33]Arc Results'!$I$147</f>
        <v>2808.2818532818533</v>
      </c>
      <c r="AH37" s="22">
        <f>'[33]Arc Results'!$I$158</f>
        <v>2839.9227799227801</v>
      </c>
      <c r="AI37" s="22">
        <f>'[33]Arc Results'!$I$213</f>
        <v>4565.405405405405</v>
      </c>
      <c r="AJ37" s="22">
        <f>'[33]Arc Results'!$I$224</f>
        <v>4848.1081081081084</v>
      </c>
      <c r="AK37" s="22">
        <f>'[33]Arc Results'!$I$180</f>
        <v>3650.4788044380084</v>
      </c>
      <c r="AL37" s="22">
        <f>'[33]Arc Results'!$I$191</f>
        <v>3692.4133449520482</v>
      </c>
      <c r="AM37" s="22">
        <f>'[33]Arc Results'!$I$81</f>
        <v>3185.8388030888032</v>
      </c>
      <c r="AN37" s="22">
        <f>'[33]Arc Results'!$I$92</f>
        <v>3912.3711389961391</v>
      </c>
      <c r="AP37" s="9">
        <f t="shared" si="26"/>
        <v>1.2</v>
      </c>
      <c r="AQ37" s="9">
        <f t="shared" si="27"/>
        <v>1.1413272029137038</v>
      </c>
      <c r="AR37" s="9">
        <f t="shared" si="28"/>
        <v>1</v>
      </c>
      <c r="AS37" s="9">
        <f t="shared" si="29"/>
        <v>1.0056019441036035</v>
      </c>
      <c r="AT37" s="9">
        <f t="shared" si="30"/>
        <v>1.0300315819695665</v>
      </c>
      <c r="AU37" s="9">
        <f t="shared" si="31"/>
        <v>1.0057109024156814</v>
      </c>
      <c r="AV37" s="9">
        <f t="shared" si="32"/>
        <v>1.1023543036674304</v>
      </c>
    </row>
    <row r="38" spans="1:48" ht="15.75">
      <c r="A38">
        <f t="shared" si="43"/>
        <v>34</v>
      </c>
      <c r="B38" s="9">
        <v>2020</v>
      </c>
      <c r="C38" s="9" t="s">
        <v>89</v>
      </c>
      <c r="D38" s="9" t="s">
        <v>5</v>
      </c>
      <c r="E38" s="7" t="s">
        <v>6</v>
      </c>
      <c r="F38" s="20" t="s">
        <v>82</v>
      </c>
      <c r="G38" s="7" t="s">
        <v>8</v>
      </c>
      <c r="H38" s="7" t="s">
        <v>9</v>
      </c>
      <c r="I38" s="9" t="s">
        <v>45</v>
      </c>
      <c r="J38" s="9">
        <v>500</v>
      </c>
      <c r="K38" s="9">
        <v>0.8</v>
      </c>
      <c r="L38" s="21">
        <f>'[34]Arc Results'!$I$10960+'[34]Arc Results'!$I$10971+'[34]Arc Results'!$I$10982+'[34]Arc Results'!$I$10993+'[34]Arc Results'!$I$11004+'[34]Arc Results'!$I$11015+'[34]Arc Results'!$I$11026+'[34]Arc Results'!$I$11037+'[34]Arc Results'!$I$11048+'[34]Arc Results'!$I$11059+'[34]Arc Results'!$I$11070+'[34]Arc Results'!$I$11081+'[34]Arc Results'!$I$11092+'[34]Arc Results'!$I$11103+'[34]Arc Results'!$I$11114+'[34]Arc Results'!$I$11125+'[34]Arc Results'!$I$11136+'[34]Arc Results'!$I$11147+'[34]Arc Results'!$I$11158+'[34]Arc Results'!$I$11169+'[34]Arc Results'!$I$11180+'[34]Arc Results'!$I$11191+'[34]Arc Results'!$I$11202+'[34]Arc Results'!$I$11213+'[34]Arc Results'!$I$11224+'[34]Arc Results'!$I$11235+'[34]Arc Results'!$I$11246+'[34]Arc Results'!$I$11257+'[34]Arc Results'!$I$11268</f>
        <v>2815.2841803453443</v>
      </c>
      <c r="M38" s="21">
        <f>'[34]Arc Results'!$I$257</f>
        <v>6165.6514285714056</v>
      </c>
      <c r="N38" s="21">
        <f t="shared" si="34"/>
        <v>2384.9393994637608</v>
      </c>
      <c r="O38" s="21">
        <f t="shared" si="35"/>
        <v>10261.62162162162</v>
      </c>
      <c r="P38" s="22">
        <f t="shared" si="36"/>
        <v>8696.5810810810799</v>
      </c>
      <c r="Q38" s="22">
        <f t="shared" si="37"/>
        <v>2489.2741312741314</v>
      </c>
      <c r="R38" s="22">
        <f t="shared" si="38"/>
        <v>578.1698841698842</v>
      </c>
      <c r="S38" s="22">
        <f t="shared" si="39"/>
        <v>658.51351351351354</v>
      </c>
      <c r="T38" s="22">
        <f t="shared" si="40"/>
        <v>7342.8921493900571</v>
      </c>
      <c r="U38" s="21"/>
      <c r="V38" s="21"/>
      <c r="W38" s="21"/>
      <c r="X38" s="23">
        <f t="shared" si="41"/>
        <v>0</v>
      </c>
      <c r="Y38" s="22"/>
      <c r="Z38" s="24">
        <f t="shared" si="42"/>
        <v>38577.643209085451</v>
      </c>
      <c r="AA38" s="22">
        <f>'[34]Arc Results'!$I$15</f>
        <v>323.51351351351349</v>
      </c>
      <c r="AB38" s="22">
        <f>'[34]Arc Results'!$I$26</f>
        <v>335</v>
      </c>
      <c r="AC38" s="22">
        <f>'[34]Arc Results'!$I$48</f>
        <v>1123.9324324324325</v>
      </c>
      <c r="AD38" s="22">
        <f>'[34]Arc Results'!$I$59</f>
        <v>1365.3416988416989</v>
      </c>
      <c r="AE38" s="22">
        <f>'[34]Arc Results'!$I$114</f>
        <v>276.32432432432432</v>
      </c>
      <c r="AF38" s="22">
        <f>'[34]Arc Results'!$I$125</f>
        <v>301.84555984555982</v>
      </c>
      <c r="AG38" s="22">
        <f>'[34]Arc Results'!$I$147</f>
        <v>0</v>
      </c>
      <c r="AH38" s="22">
        <f>'[34]Arc Results'!$I$158</f>
        <v>2384.9393994637608</v>
      </c>
      <c r="AI38" s="22">
        <f>'[34]Arc Results'!$I$213</f>
        <v>4989.4594594594591</v>
      </c>
      <c r="AJ38" s="22">
        <f>'[34]Arc Results'!$I$224</f>
        <v>5272.1621621621616</v>
      </c>
      <c r="AK38" s="22">
        <f>'[34]Arc Results'!$I$180</f>
        <v>3650.4788044380089</v>
      </c>
      <c r="AL38" s="22">
        <f>'[34]Arc Results'!$I$191</f>
        <v>3692.4133449520482</v>
      </c>
      <c r="AM38" s="22">
        <f>'[34]Arc Results'!$I$81</f>
        <v>4057.6776061776059</v>
      </c>
      <c r="AN38" s="22">
        <f>'[34]Arc Results'!$I$92</f>
        <v>4638.9034749034745</v>
      </c>
      <c r="AP38" s="9">
        <f t="shared" si="26"/>
        <v>1.0174430535604351</v>
      </c>
      <c r="AQ38" s="9">
        <f t="shared" si="27"/>
        <v>1.0969797835346087</v>
      </c>
      <c r="AR38" s="9">
        <f t="shared" si="28"/>
        <v>1.0441414127923283</v>
      </c>
      <c r="AS38" s="9">
        <f t="shared" si="29"/>
        <v>2</v>
      </c>
      <c r="AT38" s="9">
        <f t="shared" si="30"/>
        <v>1.0275495153813738</v>
      </c>
      <c r="AU38" s="9">
        <f t="shared" si="31"/>
        <v>1.0057109024156814</v>
      </c>
      <c r="AV38" s="9">
        <f t="shared" si="32"/>
        <v>1.0668338354241638</v>
      </c>
    </row>
    <row r="39" spans="1:48" ht="15.75">
      <c r="A39">
        <f t="shared" si="43"/>
        <v>35</v>
      </c>
      <c r="B39" s="9">
        <v>2020</v>
      </c>
      <c r="C39" s="9" t="s">
        <v>89</v>
      </c>
      <c r="D39" s="9" t="s">
        <v>5</v>
      </c>
      <c r="E39" s="7" t="s">
        <v>6</v>
      </c>
      <c r="F39" s="20" t="s">
        <v>83</v>
      </c>
      <c r="G39" s="7" t="s">
        <v>8</v>
      </c>
      <c r="H39" s="7" t="s">
        <v>9</v>
      </c>
      <c r="I39" s="9" t="s">
        <v>45</v>
      </c>
      <c r="J39" s="9">
        <v>500</v>
      </c>
      <c r="K39" s="9">
        <v>0.8</v>
      </c>
      <c r="L39" s="21">
        <f>'[35]Arc Results'!$I$10960+'[35]Arc Results'!$I$10971+'[35]Arc Results'!$I$10982+'[35]Arc Results'!$I$10993+'[35]Arc Results'!$I$11004+'[35]Arc Results'!$I$11015+'[35]Arc Results'!$I$11026+'[35]Arc Results'!$I$11037+'[35]Arc Results'!$I$11048+'[35]Arc Results'!$I$11059+'[35]Arc Results'!$I$11070+'[35]Arc Results'!$I$11081+'[35]Arc Results'!$I$11092+'[35]Arc Results'!$I$11103+'[35]Arc Results'!$I$11114+'[35]Arc Results'!$I$11125+'[35]Arc Results'!$I$11136+'[35]Arc Results'!$I$11147+'[35]Arc Results'!$I$11158+'[35]Arc Results'!$I$11169+'[35]Arc Results'!$I$11180+'[35]Arc Results'!$I$11191+'[35]Arc Results'!$I$11202+'[35]Arc Results'!$I$11213+'[35]Arc Results'!$I$11224+'[35]Arc Results'!$I$11235+'[35]Arc Results'!$I$11246+'[35]Arc Results'!$I$11257+'[35]Arc Results'!$I$11268</f>
        <v>1267.628619065079</v>
      </c>
      <c r="M39" s="21">
        <f>'[35]Arc Results'!$I$257</f>
        <v>6165.6514285714338</v>
      </c>
      <c r="N39" s="21">
        <f t="shared" si="34"/>
        <v>6999.7413176748159</v>
      </c>
      <c r="O39" s="21">
        <f t="shared" si="35"/>
        <v>4252.4683125936144</v>
      </c>
      <c r="P39" s="22">
        <f t="shared" si="36"/>
        <v>9334.1179931335519</v>
      </c>
      <c r="Q39" s="22">
        <f t="shared" si="37"/>
        <v>3187.3870656370655</v>
      </c>
      <c r="R39" s="22">
        <f t="shared" si="38"/>
        <v>625.38494208494217</v>
      </c>
      <c r="S39" s="22">
        <f t="shared" si="39"/>
        <v>670</v>
      </c>
      <c r="T39" s="22">
        <f t="shared" si="40"/>
        <v>7342.8921493900561</v>
      </c>
      <c r="U39" s="21"/>
      <c r="V39" s="21"/>
      <c r="W39" s="21"/>
      <c r="X39" s="23">
        <f t="shared" si="41"/>
        <v>0</v>
      </c>
      <c r="Y39" s="22"/>
      <c r="Z39" s="24">
        <f t="shared" si="42"/>
        <v>38577.64320908548</v>
      </c>
      <c r="AA39" s="22">
        <f>'[35]Arc Results'!$I$15</f>
        <v>335</v>
      </c>
      <c r="AB39" s="22">
        <f>'[35]Arc Results'!$I$26</f>
        <v>335</v>
      </c>
      <c r="AC39" s="22">
        <f>'[35]Arc Results'!$I$48</f>
        <v>1244.6370656370657</v>
      </c>
      <c r="AD39" s="22">
        <f>'[35]Arc Results'!$I$59</f>
        <v>1942.75</v>
      </c>
      <c r="AE39" s="22">
        <f>'[35]Arc Results'!$I$114</f>
        <v>289.0849420849421</v>
      </c>
      <c r="AF39" s="22">
        <f>'[35]Arc Results'!$I$125</f>
        <v>336.3</v>
      </c>
      <c r="AG39" s="22">
        <f>'[35]Arc Results'!$I$147</f>
        <v>2871.5637065637065</v>
      </c>
      <c r="AH39" s="22">
        <f>'[35]Arc Results'!$I$158</f>
        <v>4128.1776111111094</v>
      </c>
      <c r="AI39" s="22">
        <f>'[35]Arc Results'!$I$213</f>
        <v>134.67551980082163</v>
      </c>
      <c r="AJ39" s="22">
        <f>'[35]Arc Results'!$I$224</f>
        <v>4117.7927927927931</v>
      </c>
      <c r="AK39" s="22">
        <f>'[35]Arc Results'!$I$180</f>
        <v>3650.478804438008</v>
      </c>
      <c r="AL39" s="22">
        <f>'[35]Arc Results'!$I$191</f>
        <v>3692.4133449520486</v>
      </c>
      <c r="AM39" s="22">
        <f>'[35]Arc Results'!$I$81</f>
        <v>4348.29054054054</v>
      </c>
      <c r="AN39" s="22">
        <f>'[35]Arc Results'!$I$92</f>
        <v>4985.8274525930119</v>
      </c>
      <c r="AP39" s="9">
        <f t="shared" si="26"/>
        <v>1</v>
      </c>
      <c r="AQ39" s="9">
        <f t="shared" si="27"/>
        <v>1.2190235826358298</v>
      </c>
      <c r="AR39" s="9">
        <f t="shared" si="28"/>
        <v>1.0754975931426327</v>
      </c>
      <c r="AS39" s="9">
        <f t="shared" si="29"/>
        <v>1.1795229062786032</v>
      </c>
      <c r="AT39" s="9">
        <f t="shared" si="30"/>
        <v>1.9366600713275244</v>
      </c>
      <c r="AU39" s="9">
        <f t="shared" si="31"/>
        <v>1.0057109024156816</v>
      </c>
      <c r="AV39" s="9">
        <f t="shared" si="32"/>
        <v>1.0683017841130209</v>
      </c>
    </row>
    <row r="40" spans="1:48" ht="15.75">
      <c r="A40">
        <f t="shared" si="43"/>
        <v>36</v>
      </c>
      <c r="B40" s="9">
        <v>2020</v>
      </c>
      <c r="C40" s="9" t="s">
        <v>89</v>
      </c>
      <c r="D40" s="9" t="s">
        <v>5</v>
      </c>
      <c r="E40" s="7" t="s">
        <v>6</v>
      </c>
      <c r="F40" s="20" t="s">
        <v>84</v>
      </c>
      <c r="G40" s="7" t="s">
        <v>8</v>
      </c>
      <c r="H40" s="7" t="s">
        <v>9</v>
      </c>
      <c r="I40" s="9" t="s">
        <v>45</v>
      </c>
      <c r="J40" s="9">
        <v>500</v>
      </c>
      <c r="K40" s="9">
        <v>0.8</v>
      </c>
      <c r="L40" s="21">
        <f>'[36]Arc Results'!$I$10960+'[36]Arc Results'!$I$10971+'[36]Arc Results'!$I$10982+'[36]Arc Results'!$I$10993+'[36]Arc Results'!$I$11004+'[36]Arc Results'!$I$11015+'[36]Arc Results'!$I$11026+'[36]Arc Results'!$I$11037+'[36]Arc Results'!$I$11048+'[36]Arc Results'!$I$11059+'[36]Arc Results'!$I$11070+'[36]Arc Results'!$I$11081+'[36]Arc Results'!$I$11092+'[36]Arc Results'!$I$11103+'[36]Arc Results'!$I$11114+'[36]Arc Results'!$I$11125+'[36]Arc Results'!$I$11136+'[36]Arc Results'!$I$11147+'[36]Arc Results'!$I$11158+'[36]Arc Results'!$I$11169+'[36]Arc Results'!$I$11180+'[36]Arc Results'!$I$11191+'[36]Arc Results'!$I$11202+'[36]Arc Results'!$I$11213+'[36]Arc Results'!$I$11224+'[36]Arc Results'!$I$11235+'[36]Arc Results'!$I$11246+'[36]Arc Results'!$I$11257+'[36]Arc Results'!$I$11268</f>
        <v>2943.9704004595319</v>
      </c>
      <c r="M40" s="21">
        <f>'[36]Arc Results'!$I$257</f>
        <v>6165.6514285714265</v>
      </c>
      <c r="N40" s="21">
        <f t="shared" si="34"/>
        <v>6186.2739091835274</v>
      </c>
      <c r="O40" s="21">
        <f t="shared" si="35"/>
        <v>11316.183274762272</v>
      </c>
      <c r="P40" s="22">
        <f t="shared" si="36"/>
        <v>3405.5742618500021</v>
      </c>
      <c r="Q40" s="22">
        <f t="shared" si="37"/>
        <v>2887.3770656370657</v>
      </c>
      <c r="R40" s="22">
        <f t="shared" si="38"/>
        <v>603.69111969111964</v>
      </c>
      <c r="S40" s="22">
        <f t="shared" si="39"/>
        <v>670</v>
      </c>
      <c r="T40" s="22">
        <f t="shared" si="40"/>
        <v>7342.8921493900561</v>
      </c>
      <c r="U40" s="21"/>
      <c r="V40" s="21"/>
      <c r="W40" s="21"/>
      <c r="X40" s="23">
        <f t="shared" si="41"/>
        <v>0</v>
      </c>
      <c r="Y40" s="22"/>
      <c r="Z40" s="24">
        <f t="shared" si="42"/>
        <v>38577.643209085465</v>
      </c>
      <c r="AA40" s="22">
        <f>'[36]Arc Results'!$I$15</f>
        <v>335</v>
      </c>
      <c r="AB40" s="22">
        <f>'[36]Arc Results'!$I$26</f>
        <v>335</v>
      </c>
      <c r="AC40" s="22">
        <f>'[36]Arc Results'!$I$48</f>
        <v>1244.6370656370657</v>
      </c>
      <c r="AD40" s="22">
        <f>'[36]Arc Results'!$I$59</f>
        <v>1642.74</v>
      </c>
      <c r="AE40" s="22">
        <f>'[36]Arc Results'!$I$114</f>
        <v>289.0849420849421</v>
      </c>
      <c r="AF40" s="22">
        <f>'[36]Arc Results'!$I$125</f>
        <v>314.6061776061776</v>
      </c>
      <c r="AG40" s="22">
        <f>'[36]Arc Results'!$I$147</f>
        <v>2871.5637065637065</v>
      </c>
      <c r="AH40" s="22">
        <f>'[36]Arc Results'!$I$158</f>
        <v>3314.7102026198208</v>
      </c>
      <c r="AI40" s="22">
        <f>'[36]Arc Results'!$I$213</f>
        <v>5130.8108108108108</v>
      </c>
      <c r="AJ40" s="22">
        <f>'[36]Arc Results'!$I$224</f>
        <v>6185.3724639514603</v>
      </c>
      <c r="AK40" s="22">
        <f>'[36]Arc Results'!$I$180</f>
        <v>3650.4788044380084</v>
      </c>
      <c r="AL40" s="22">
        <f>'[36]Arc Results'!$I$191</f>
        <v>3692.4133449520482</v>
      </c>
      <c r="AM40" s="22">
        <f>'[36]Arc Results'!$I$81</f>
        <v>1028.497030925002</v>
      </c>
      <c r="AN40" s="22">
        <f>'[36]Arc Results'!$I$92</f>
        <v>2377.0772309250001</v>
      </c>
      <c r="AP40" s="9">
        <f t="shared" si="26"/>
        <v>1</v>
      </c>
      <c r="AQ40" s="9">
        <f t="shared" si="27"/>
        <v>1.1378770161683396</v>
      </c>
      <c r="AR40" s="9">
        <f t="shared" si="28"/>
        <v>1.0422753204226254</v>
      </c>
      <c r="AS40" s="9">
        <f t="shared" si="29"/>
        <v>1.0716338304060968</v>
      </c>
      <c r="AT40" s="9">
        <f t="shared" si="30"/>
        <v>1.0931905773824437</v>
      </c>
      <c r="AU40" s="9">
        <f t="shared" si="31"/>
        <v>1.0057109024156814</v>
      </c>
      <c r="AV40" s="9">
        <f t="shared" si="32"/>
        <v>1.3959920108356152</v>
      </c>
    </row>
    <row r="41" spans="1:48" ht="15.75">
      <c r="A41">
        <f t="shared" si="43"/>
        <v>37</v>
      </c>
      <c r="B41" s="9">
        <v>2020</v>
      </c>
      <c r="C41" s="9" t="s">
        <v>89</v>
      </c>
      <c r="D41" s="9" t="s">
        <v>5</v>
      </c>
      <c r="E41" s="7" t="s">
        <v>6</v>
      </c>
      <c r="F41" s="20" t="s">
        <v>85</v>
      </c>
      <c r="G41" s="7" t="s">
        <v>8</v>
      </c>
      <c r="H41" s="7" t="s">
        <v>9</v>
      </c>
      <c r="I41" s="9" t="s">
        <v>45</v>
      </c>
      <c r="J41" s="9">
        <v>500</v>
      </c>
      <c r="K41" s="9">
        <v>0.8</v>
      </c>
      <c r="L41" s="21">
        <f>'[37]Arc Results'!$I$10960+'[37]Arc Results'!$I$10971+'[37]Arc Results'!$I$10982+'[37]Arc Results'!$I$10993+'[37]Arc Results'!$I$11004+'[37]Arc Results'!$I$11015+'[37]Arc Results'!$I$11026+'[37]Arc Results'!$I$11037+'[37]Arc Results'!$I$11048+'[37]Arc Results'!$I$11059+'[37]Arc Results'!$I$11070+'[37]Arc Results'!$I$11081+'[37]Arc Results'!$I$11092+'[37]Arc Results'!$I$11103+'[37]Arc Results'!$I$11114+'[37]Arc Results'!$I$11125+'[37]Arc Results'!$I$11136+'[37]Arc Results'!$I$11147+'[37]Arc Results'!$I$11158+'[37]Arc Results'!$I$11169+'[37]Arc Results'!$I$11180+'[37]Arc Results'!$I$11191+'[37]Arc Results'!$I$11202+'[37]Arc Results'!$I$11213+'[37]Arc Results'!$I$11224+'[37]Arc Results'!$I$11235+'[37]Arc Results'!$I$11246+'[37]Arc Results'!$I$11257+'[37]Arc Results'!$I$11268</f>
        <v>3894.3889100750698</v>
      </c>
      <c r="M41" s="21">
        <f>'[37]Arc Results'!$I$257</f>
        <v>6165.6514285714456</v>
      </c>
      <c r="N41" s="21">
        <f t="shared" si="34"/>
        <v>5664.0250965250962</v>
      </c>
      <c r="O41" s="21">
        <f t="shared" si="35"/>
        <v>9555.7815809309413</v>
      </c>
      <c r="P41" s="22">
        <f t="shared" si="36"/>
        <v>7388.8228764478754</v>
      </c>
      <c r="Q41" s="22">
        <f t="shared" si="37"/>
        <v>1946.1032818532819</v>
      </c>
      <c r="R41" s="22">
        <f t="shared" si="38"/>
        <v>514.36679536679537</v>
      </c>
      <c r="S41" s="22">
        <f t="shared" si="39"/>
        <v>0</v>
      </c>
      <c r="T41" s="22">
        <f t="shared" si="40"/>
        <v>7342.8921493900552</v>
      </c>
      <c r="U41" s="21"/>
      <c r="V41" s="21"/>
      <c r="W41" s="21"/>
      <c r="X41" s="23">
        <f t="shared" si="41"/>
        <v>0</v>
      </c>
      <c r="Y41" s="22"/>
      <c r="Z41" s="24">
        <f t="shared" si="42"/>
        <v>38577.643209085487</v>
      </c>
      <c r="AA41" s="22">
        <f>'[37]Arc Results'!$I$15</f>
        <v>0</v>
      </c>
      <c r="AB41" s="22">
        <f>'[37]Arc Results'!$I$26</f>
        <v>0</v>
      </c>
      <c r="AC41" s="22">
        <f>'[37]Arc Results'!$I$48</f>
        <v>822.17084942084944</v>
      </c>
      <c r="AD41" s="22">
        <f>'[37]Arc Results'!$I$59</f>
        <v>1123.9324324324325</v>
      </c>
      <c r="AE41" s="22">
        <f>'[37]Arc Results'!$I$114</f>
        <v>244.42277992277991</v>
      </c>
      <c r="AF41" s="22">
        <f>'[37]Arc Results'!$I$125</f>
        <v>269.94401544401546</v>
      </c>
      <c r="AG41" s="22">
        <f>'[37]Arc Results'!$I$147</f>
        <v>2816.1920849420849</v>
      </c>
      <c r="AH41" s="22">
        <f>'[37]Arc Results'!$I$158</f>
        <v>2847.8330115830117</v>
      </c>
      <c r="AI41" s="22">
        <f>'[37]Arc Results'!$I$213</f>
        <v>4636.0810810810808</v>
      </c>
      <c r="AJ41" s="22">
        <f>'[37]Arc Results'!$I$224</f>
        <v>4919.7004998498605</v>
      </c>
      <c r="AK41" s="22">
        <f>'[37]Arc Results'!$I$180</f>
        <v>3650.478804438007</v>
      </c>
      <c r="AL41" s="22">
        <f>'[37]Arc Results'!$I$191</f>
        <v>3692.4133449520482</v>
      </c>
      <c r="AM41" s="22">
        <f>'[37]Arc Results'!$I$81</f>
        <v>3331.14527027027</v>
      </c>
      <c r="AN41" s="22">
        <f>'[37]Arc Results'!$I$92</f>
        <v>4057.6776061776059</v>
      </c>
      <c r="AP41" s="9" t="e">
        <f t="shared" si="26"/>
        <v>#DIV/0!</v>
      </c>
      <c r="AQ41" s="9">
        <f t="shared" si="27"/>
        <v>1.1550593875594384</v>
      </c>
      <c r="AR41" s="9">
        <f t="shared" si="28"/>
        <v>1.0496168021558163</v>
      </c>
      <c r="AS41" s="9">
        <f t="shared" si="29"/>
        <v>1.0055862970417166</v>
      </c>
      <c r="AT41" s="9">
        <f t="shared" si="30"/>
        <v>1.0296803999093864</v>
      </c>
      <c r="AU41" s="9">
        <f t="shared" si="31"/>
        <v>1.0057109024156816</v>
      </c>
      <c r="AV41" s="9">
        <f t="shared" si="32"/>
        <v>1.0983285630277027</v>
      </c>
    </row>
    <row r="42" spans="1:48" ht="15.75">
      <c r="A42">
        <f t="shared" si="43"/>
        <v>38</v>
      </c>
      <c r="B42" s="9">
        <v>2020</v>
      </c>
      <c r="C42" s="9" t="s">
        <v>89</v>
      </c>
      <c r="D42" s="9" t="s">
        <v>5</v>
      </c>
      <c r="E42" s="7" t="s">
        <v>6</v>
      </c>
      <c r="F42" s="7" t="s">
        <v>86</v>
      </c>
      <c r="G42" s="7" t="s">
        <v>8</v>
      </c>
      <c r="H42" s="7" t="s">
        <v>9</v>
      </c>
      <c r="I42" s="9" t="s">
        <v>45</v>
      </c>
      <c r="J42" s="9">
        <v>500</v>
      </c>
      <c r="K42" s="9">
        <v>0.8</v>
      </c>
      <c r="L42" s="21">
        <f>'[38]Arc Results'!$I$10960+'[38]Arc Results'!$I$10971+'[38]Arc Results'!$I$10982+'[38]Arc Results'!$I$10993+'[38]Arc Results'!$I$11004+'[38]Arc Results'!$I$11015+'[38]Arc Results'!$I$11026+'[38]Arc Results'!$I$11037+'[38]Arc Results'!$I$11048+'[38]Arc Results'!$I$11059+'[38]Arc Results'!$I$11070+'[38]Arc Results'!$I$11081+'[38]Arc Results'!$I$11092+'[38]Arc Results'!$I$11103+'[38]Arc Results'!$I$11114+'[38]Arc Results'!$I$11125+'[38]Arc Results'!$I$11136+'[38]Arc Results'!$I$11147+'[38]Arc Results'!$I$11158+'[38]Arc Results'!$I$11169+'[38]Arc Results'!$I$11180+'[38]Arc Results'!$I$11191+'[38]Arc Results'!$I$11202+'[38]Arc Results'!$I$11213+'[38]Arc Results'!$I$11224+'[38]Arc Results'!$I$11235+'[38]Arc Results'!$I$11246+'[38]Arc Results'!$I$11257+'[38]Arc Results'!$I$11268</f>
        <v>4040.3334081445696</v>
      </c>
      <c r="M42" s="21">
        <f>'[38]Arc Results'!$I$257</f>
        <v>6165.6514285714347</v>
      </c>
      <c r="N42" s="21">
        <f t="shared" si="34"/>
        <v>5711.4864864864867</v>
      </c>
      <c r="O42" s="21">
        <f t="shared" si="35"/>
        <v>9978.9189189189201</v>
      </c>
      <c r="P42" s="22">
        <f t="shared" si="36"/>
        <v>8213.7482797726352</v>
      </c>
      <c r="Q42" s="22">
        <f t="shared" si="37"/>
        <v>0</v>
      </c>
      <c r="R42" s="22">
        <f t="shared" si="38"/>
        <v>552.64864864864865</v>
      </c>
      <c r="S42" s="22">
        <f t="shared" si="39"/>
        <v>612.29729729729729</v>
      </c>
      <c r="T42" s="22">
        <f t="shared" si="40"/>
        <v>7342.8921493900552</v>
      </c>
      <c r="U42" s="21"/>
      <c r="V42" s="21"/>
      <c r="W42" s="21"/>
      <c r="X42" s="23">
        <f t="shared" si="41"/>
        <v>0</v>
      </c>
      <c r="Y42" s="22"/>
      <c r="Z42" s="24">
        <f t="shared" si="42"/>
        <v>38577.64320908548</v>
      </c>
      <c r="AA42" s="22">
        <f>'[38]Arc Results'!$I$15</f>
        <v>277.29729729729723</v>
      </c>
      <c r="AB42" s="22">
        <f>'[38]Arc Results'!$I$26</f>
        <v>335</v>
      </c>
      <c r="AC42" s="22">
        <f>'[38]Arc Results'!$I$48</f>
        <v>0</v>
      </c>
      <c r="AD42" s="22">
        <f>'[38]Arc Results'!$I$59</f>
        <v>0</v>
      </c>
      <c r="AE42" s="22">
        <f>'[38]Arc Results'!$I$114</f>
        <v>263.56370656370655</v>
      </c>
      <c r="AF42" s="22">
        <f>'[38]Arc Results'!$I$125</f>
        <v>289.0849420849421</v>
      </c>
      <c r="AG42" s="22">
        <f>'[38]Arc Results'!$I$147</f>
        <v>2839.9227799227801</v>
      </c>
      <c r="AH42" s="22">
        <f>'[38]Arc Results'!$I$158</f>
        <v>2871.5637065637065</v>
      </c>
      <c r="AI42" s="22">
        <f>'[38]Arc Results'!$I$213</f>
        <v>4848.1081081081084</v>
      </c>
      <c r="AJ42" s="22">
        <f>'[38]Arc Results'!$I$224</f>
        <v>5130.8108108108108</v>
      </c>
      <c r="AK42" s="22">
        <f>'[38]Arc Results'!$I$180</f>
        <v>3650.4788044380075</v>
      </c>
      <c r="AL42" s="22">
        <f>'[38]Arc Results'!$I$191</f>
        <v>3692.4133449520477</v>
      </c>
      <c r="AM42" s="22">
        <f>'[38]Arc Results'!$I$81</f>
        <v>3767.0646718146718</v>
      </c>
      <c r="AN42" s="22">
        <f>'[38]Arc Results'!$I$92</f>
        <v>4446.6836079579634</v>
      </c>
      <c r="AP42" s="9">
        <f t="shared" si="26"/>
        <v>1.0942396821893621</v>
      </c>
      <c r="AQ42" s="9" t="e">
        <f t="shared" si="27"/>
        <v>#DIV/0!</v>
      </c>
      <c r="AR42" s="9">
        <f t="shared" si="28"/>
        <v>1.0461798569192935</v>
      </c>
      <c r="AS42" s="9">
        <f t="shared" si="29"/>
        <v>1.0055398759527472</v>
      </c>
      <c r="AT42" s="9">
        <f t="shared" si="30"/>
        <v>1.0283299929581278</v>
      </c>
      <c r="AU42" s="9">
        <f t="shared" si="31"/>
        <v>1.0057109024156814</v>
      </c>
      <c r="AV42" s="9">
        <f t="shared" si="32"/>
        <v>1.0827416318341454</v>
      </c>
    </row>
    <row r="43" spans="1:48" ht="15.75">
      <c r="A43">
        <f t="shared" si="43"/>
        <v>39</v>
      </c>
      <c r="B43" s="9">
        <v>2020</v>
      </c>
      <c r="C43" s="9" t="s">
        <v>89</v>
      </c>
      <c r="D43" s="9" t="s">
        <v>5</v>
      </c>
      <c r="E43" s="7" t="s">
        <v>6</v>
      </c>
      <c r="F43" s="20" t="s">
        <v>87</v>
      </c>
      <c r="G43" s="7" t="s">
        <v>8</v>
      </c>
      <c r="H43" s="7" t="s">
        <v>9</v>
      </c>
      <c r="I43" s="9" t="s">
        <v>45</v>
      </c>
      <c r="J43" s="9">
        <v>500</v>
      </c>
      <c r="K43" s="9">
        <v>0.8</v>
      </c>
      <c r="L43" s="21">
        <f>'[39]Arc Results'!$I$10960+'[39]Arc Results'!$I$10971+'[39]Arc Results'!$I$10982+'[39]Arc Results'!$I$10993+'[39]Arc Results'!$I$11004+'[39]Arc Results'!$I$11015+'[39]Arc Results'!$I$11026+'[39]Arc Results'!$I$11037+'[39]Arc Results'!$I$11048+'[39]Arc Results'!$I$11059+'[39]Arc Results'!$I$11070+'[39]Arc Results'!$I$11081+'[39]Arc Results'!$I$11092+'[39]Arc Results'!$I$11103+'[39]Arc Results'!$I$11114+'[39]Arc Results'!$I$11125+'[39]Arc Results'!$I$11136+'[39]Arc Results'!$I$11147+'[39]Arc Results'!$I$11158+'[39]Arc Results'!$I$11169+'[39]Arc Results'!$I$11180+'[39]Arc Results'!$I$11191+'[39]Arc Results'!$I$11202+'[39]Arc Results'!$I$11213+'[39]Arc Results'!$I$11224+'[39]Arc Results'!$I$11235+'[39]Arc Results'!$I$11246+'[39]Arc Results'!$I$11257+'[39]Arc Results'!$I$11268</f>
        <v>3857.939103125258</v>
      </c>
      <c r="M43" s="21">
        <f>'[39]Arc Results'!$I$257</f>
        <v>6165.6514285714456</v>
      </c>
      <c r="N43" s="21">
        <f t="shared" si="34"/>
        <v>5664.0250965250962</v>
      </c>
      <c r="O43" s="21">
        <f t="shared" si="35"/>
        <v>9561.7699979193603</v>
      </c>
      <c r="P43" s="22">
        <f t="shared" si="36"/>
        <v>7388.8228764478754</v>
      </c>
      <c r="Q43" s="22">
        <f t="shared" si="37"/>
        <v>1946.1032818532819</v>
      </c>
      <c r="R43" s="22">
        <f t="shared" si="38"/>
        <v>0</v>
      </c>
      <c r="S43" s="22">
        <f t="shared" si="39"/>
        <v>508.37837837837833</v>
      </c>
      <c r="T43" s="22">
        <f t="shared" si="40"/>
        <v>7342.8921493900543</v>
      </c>
      <c r="U43" s="21"/>
      <c r="V43" s="21"/>
      <c r="W43" s="21"/>
      <c r="X43" s="23">
        <f t="shared" si="41"/>
        <v>0</v>
      </c>
      <c r="Y43" s="22"/>
      <c r="Z43" s="24">
        <f t="shared" si="42"/>
        <v>38577.643209085494</v>
      </c>
      <c r="AA43" s="22">
        <f>'[39]Arc Results'!$I$15</f>
        <v>207.97297297297294</v>
      </c>
      <c r="AB43" s="22">
        <f>'[39]Arc Results'!$I$26</f>
        <v>300.40540540540536</v>
      </c>
      <c r="AC43" s="22">
        <f>'[39]Arc Results'!$I$48</f>
        <v>822.17084942084944</v>
      </c>
      <c r="AD43" s="22">
        <f>'[39]Arc Results'!$I$59</f>
        <v>1123.9324324324325</v>
      </c>
      <c r="AE43" s="22">
        <f>'[39]Arc Results'!$I$114</f>
        <v>0</v>
      </c>
      <c r="AF43" s="22">
        <f>'[39]Arc Results'!$I$125</f>
        <v>0</v>
      </c>
      <c r="AG43" s="22">
        <f>'[39]Arc Results'!$I$147</f>
        <v>2816.1920849420849</v>
      </c>
      <c r="AH43" s="22">
        <f>'[39]Arc Results'!$I$158</f>
        <v>2847.8330115830117</v>
      </c>
      <c r="AI43" s="22">
        <f>'[39]Arc Results'!$I$213</f>
        <v>4636.0810810810808</v>
      </c>
      <c r="AJ43" s="22">
        <f>'[39]Arc Results'!$I$224</f>
        <v>4925.6889168382804</v>
      </c>
      <c r="AK43" s="22">
        <f>'[39]Arc Results'!$I$180</f>
        <v>3650.4788044380066</v>
      </c>
      <c r="AL43" s="22">
        <f>'[39]Arc Results'!$I$191</f>
        <v>3692.4133449520482</v>
      </c>
      <c r="AM43" s="22">
        <f>'[39]Arc Results'!$I$81</f>
        <v>3331.14527027027</v>
      </c>
      <c r="AN43" s="22">
        <f>'[39]Arc Results'!$I$92</f>
        <v>4057.6776061776059</v>
      </c>
      <c r="AP43" s="9">
        <f t="shared" si="26"/>
        <v>1.1818181818181817</v>
      </c>
      <c r="AQ43" s="9">
        <f t="shared" si="27"/>
        <v>1.1550593875594384</v>
      </c>
      <c r="AR43" s="9" t="e">
        <f t="shared" si="28"/>
        <v>#DIV/0!</v>
      </c>
      <c r="AS43" s="9">
        <f t="shared" si="29"/>
        <v>1.0055862970417166</v>
      </c>
      <c r="AT43" s="9">
        <f t="shared" si="30"/>
        <v>1.0302880989419552</v>
      </c>
      <c r="AU43" s="9">
        <f t="shared" si="31"/>
        <v>1.0057109024156816</v>
      </c>
      <c r="AV43" s="9">
        <f t="shared" si="32"/>
        <v>1.0983285630277027</v>
      </c>
    </row>
    <row r="44" spans="1:48" ht="15.75">
      <c r="A44">
        <f t="shared" si="43"/>
        <v>40</v>
      </c>
      <c r="B44" s="9">
        <v>2020</v>
      </c>
      <c r="C44" s="9" t="s">
        <v>89</v>
      </c>
      <c r="D44" s="9" t="s">
        <v>88</v>
      </c>
      <c r="E44" s="7" t="s">
        <v>6</v>
      </c>
      <c r="F44" s="20" t="s">
        <v>7</v>
      </c>
      <c r="G44" s="7" t="s">
        <v>8</v>
      </c>
      <c r="H44" s="7" t="s">
        <v>9</v>
      </c>
      <c r="I44" s="9" t="s">
        <v>45</v>
      </c>
      <c r="J44" s="9">
        <v>500</v>
      </c>
      <c r="K44" s="9">
        <v>0.8</v>
      </c>
      <c r="L44" s="21">
        <f>'[40]Arc Results'!$I$10960+'[40]Arc Results'!$I$10971+'[40]Arc Results'!$I$10982+'[40]Arc Results'!$I$10993+'[40]Arc Results'!$I$11004+'[40]Arc Results'!$I$11015+'[40]Arc Results'!$I$11026+'[40]Arc Results'!$I$11037+'[40]Arc Results'!$I$11048+'[40]Arc Results'!$I$11059+'[40]Arc Results'!$I$11070+'[40]Arc Results'!$I$11081+'[40]Arc Results'!$I$11092+'[40]Arc Results'!$I$11103+'[40]Arc Results'!$I$11114+'[40]Arc Results'!$I$11125+'[40]Arc Results'!$I$11136+'[40]Arc Results'!$I$11147+'[40]Arc Results'!$I$11158+'[40]Arc Results'!$I$11169+'[40]Arc Results'!$I$11180+'[40]Arc Results'!$I$11191+'[40]Arc Results'!$I$11202+'[40]Arc Results'!$I$11213+'[40]Arc Results'!$I$11224+'[40]Arc Results'!$I$11235+'[40]Arc Results'!$I$11246+'[40]Arc Results'!$I$11257+'[40]Arc Results'!$I$11268</f>
        <v>3154.9256153025808</v>
      </c>
      <c r="M44" s="21">
        <f>'[40]Arc Results'!$I$257</f>
        <v>14223.844769725045</v>
      </c>
      <c r="N44" s="21">
        <f t="shared" ref="N44:N46" si="44">SUM(AG44:AH44)</f>
        <v>5539.5166163142003</v>
      </c>
      <c r="O44" s="21">
        <f t="shared" ref="O44:O46" si="45">SUM(AI44:AJ44)</f>
        <v>8442.416918429004</v>
      </c>
      <c r="P44" s="22">
        <f t="shared" ref="P44:P46" si="46">SUM(AM44:AN44)</f>
        <v>5206.8065091904446</v>
      </c>
      <c r="Q44" s="22">
        <f t="shared" ref="Q44:Q46" si="47">SUM(AC44:AD44)</f>
        <v>983.01888217522651</v>
      </c>
      <c r="R44" s="22">
        <f t="shared" ref="R44:R46" si="48">SUM(AE44:AF44)</f>
        <v>413.93957703927492</v>
      </c>
      <c r="S44" s="22">
        <f t="shared" ref="S44:S46" si="49">SUM(AA44:AB44)</f>
        <v>144.65256797583081</v>
      </c>
      <c r="T44" s="22">
        <f t="shared" ref="T44:T46" si="50">SUM(AK44:AL44)</f>
        <v>7291.9358300684817</v>
      </c>
      <c r="U44" s="21"/>
      <c r="V44" s="21"/>
      <c r="W44" s="21"/>
      <c r="X44" s="23">
        <f t="shared" ref="X44:X46" si="51">SUM(U44:W44)</f>
        <v>0</v>
      </c>
      <c r="Y44" s="22"/>
      <c r="Z44" s="24">
        <f t="shared" ref="Z44:Z46" si="52">M44+N44+O44+P44+Q44+R44+S44+T44</f>
        <v>42246.131670917508</v>
      </c>
      <c r="AA44" s="22">
        <f>'[40]Arc Results'!$I$15</f>
        <v>36.163141993957701</v>
      </c>
      <c r="AB44" s="22">
        <f>'[40]Arc Results'!$I$26</f>
        <v>108.48942598187311</v>
      </c>
      <c r="AC44" s="22">
        <f>'[40]Arc Results'!$I$48</f>
        <v>373.44864048338366</v>
      </c>
      <c r="AD44" s="22">
        <f>'[40]Arc Results'!$I$59</f>
        <v>609.57024169184285</v>
      </c>
      <c r="AE44" s="22">
        <f>'[40]Arc Results'!$I$114</f>
        <v>196.98489425981873</v>
      </c>
      <c r="AF44" s="22">
        <f>'[40]Arc Results'!$I$125</f>
        <v>216.95468277945619</v>
      </c>
      <c r="AG44" s="22">
        <f>'[40]Arc Results'!$I$147</f>
        <v>2757.3791540785501</v>
      </c>
      <c r="AH44" s="22">
        <f>'[40]Arc Results'!$I$158</f>
        <v>2782.1374622356498</v>
      </c>
      <c r="AI44" s="22">
        <f>'[40]Arc Results'!$I$213</f>
        <v>4110.604229607251</v>
      </c>
      <c r="AJ44" s="22">
        <f>'[40]Arc Results'!$I$224</f>
        <v>4331.8126888217521</v>
      </c>
      <c r="AK44" s="22">
        <f>'[40]Arc Results'!$I$180</f>
        <v>3645.9679150342417</v>
      </c>
      <c r="AL44" s="22">
        <f>'[40]Arc Results'!$I$191</f>
        <v>3645.9679150342404</v>
      </c>
      <c r="AM44" s="22">
        <f>'[40]Arc Results'!$I$81</f>
        <v>2335.2775904416153</v>
      </c>
      <c r="AN44" s="22">
        <f>'[40]Arc Results'!$I$92</f>
        <v>2871.5289187488297</v>
      </c>
      <c r="AP44" s="9">
        <f t="shared" si="26"/>
        <v>1.5</v>
      </c>
      <c r="AQ44" s="9">
        <f t="shared" si="27"/>
        <v>1.2402004737548569</v>
      </c>
      <c r="AR44" s="9">
        <f t="shared" si="28"/>
        <v>1.0482432452158175</v>
      </c>
      <c r="AS44" s="9">
        <f t="shared" si="29"/>
        <v>1.0044693986627253</v>
      </c>
      <c r="AT44" s="9">
        <f t="shared" si="30"/>
        <v>1.0262020297447787</v>
      </c>
      <c r="AU44" s="9">
        <f t="shared" si="31"/>
        <v>0.99999999999999989</v>
      </c>
      <c r="AV44" s="9">
        <f t="shared" si="32"/>
        <v>1.1029904467086855</v>
      </c>
    </row>
    <row r="45" spans="1:48" ht="15.75">
      <c r="A45">
        <f t="shared" si="43"/>
        <v>41</v>
      </c>
      <c r="B45" s="9">
        <v>2020</v>
      </c>
      <c r="C45" s="9" t="s">
        <v>89</v>
      </c>
      <c r="D45" s="9" t="s">
        <v>88</v>
      </c>
      <c r="E45" s="7" t="s">
        <v>6</v>
      </c>
      <c r="F45" s="20" t="s">
        <v>76</v>
      </c>
      <c r="G45" s="7" t="s">
        <v>8</v>
      </c>
      <c r="H45" s="7" t="s">
        <v>9</v>
      </c>
      <c r="I45" s="9" t="s">
        <v>45</v>
      </c>
      <c r="J45" s="9">
        <v>500</v>
      </c>
      <c r="K45" s="9">
        <v>0.8</v>
      </c>
      <c r="L45" s="21">
        <f>'[41]Arc Results'!$I$10960+'[41]Arc Results'!$I$10971+'[41]Arc Results'!$I$10982+'[41]Arc Results'!$I$10993+'[41]Arc Results'!$I$11004+'[41]Arc Results'!$I$11015+'[41]Arc Results'!$I$11026+'[41]Arc Results'!$I$11037+'[41]Arc Results'!$I$11048+'[41]Arc Results'!$I$11059+'[41]Arc Results'!$I$11070+'[41]Arc Results'!$I$11081+'[41]Arc Results'!$I$11092+'[41]Arc Results'!$I$11103+'[41]Arc Results'!$I$11114+'[41]Arc Results'!$I$11125+'[41]Arc Results'!$I$11136+'[41]Arc Results'!$I$11147+'[41]Arc Results'!$I$11158+'[41]Arc Results'!$I$11169+'[41]Arc Results'!$I$11180+'[41]Arc Results'!$I$11191+'[41]Arc Results'!$I$11202+'[41]Arc Results'!$I$11213+'[41]Arc Results'!$I$11224+'[41]Arc Results'!$I$11235+'[41]Arc Results'!$I$11246+'[41]Arc Results'!$I$11257+'[41]Arc Results'!$I$11268</f>
        <v>2437.4415755082828</v>
      </c>
      <c r="M45" s="21">
        <f>'[41]Arc Results'!$I$257</f>
        <v>14223.844769725045</v>
      </c>
      <c r="N45" s="21">
        <f t="shared" si="44"/>
        <v>8256.3552222222206</v>
      </c>
      <c r="O45" s="21">
        <f t="shared" si="45"/>
        <v>7653.8268334538798</v>
      </c>
      <c r="P45" s="22">
        <f t="shared" si="46"/>
        <v>4051.6167469370839</v>
      </c>
      <c r="Q45" s="22">
        <f t="shared" si="47"/>
        <v>794.1216012084592</v>
      </c>
      <c r="R45" s="22">
        <f t="shared" si="48"/>
        <v>393.96978851963746</v>
      </c>
      <c r="S45" s="22">
        <f t="shared" si="49"/>
        <v>72.326283987915403</v>
      </c>
      <c r="T45" s="22">
        <f t="shared" si="50"/>
        <v>6800.0704248632646</v>
      </c>
      <c r="U45" s="21"/>
      <c r="V45" s="21"/>
      <c r="W45" s="21"/>
      <c r="X45" s="23">
        <f t="shared" si="51"/>
        <v>0</v>
      </c>
      <c r="Y45" s="22"/>
      <c r="Z45" s="24">
        <f t="shared" si="52"/>
        <v>42246.131670917515</v>
      </c>
      <c r="AA45" s="22">
        <f>'[41]Arc Results'!$I$15</f>
        <v>0</v>
      </c>
      <c r="AB45" s="22">
        <f>'[41]Arc Results'!$I$26</f>
        <v>72.326283987915403</v>
      </c>
      <c r="AC45" s="22">
        <f>'[41]Arc Results'!$I$48</f>
        <v>326.22432024169183</v>
      </c>
      <c r="AD45" s="22">
        <f>'[41]Arc Results'!$I$59</f>
        <v>467.89728096676737</v>
      </c>
      <c r="AE45" s="22">
        <f>'[41]Arc Results'!$I$114</f>
        <v>187</v>
      </c>
      <c r="AF45" s="22">
        <f>'[41]Arc Results'!$I$125</f>
        <v>206.96978851963746</v>
      </c>
      <c r="AG45" s="22">
        <f>'[41]Arc Results'!$I$147</f>
        <v>4128.1776111111103</v>
      </c>
      <c r="AH45" s="22">
        <f>'[41]Arc Results'!$I$158</f>
        <v>4128.1776111111094</v>
      </c>
      <c r="AI45" s="22">
        <f>'[41]Arc Results'!$I$213</f>
        <v>3432.6183742393787</v>
      </c>
      <c r="AJ45" s="22">
        <f>'[41]Arc Results'!$I$224</f>
        <v>4221.2084592145011</v>
      </c>
      <c r="AK45" s="22">
        <f>'[41]Arc Results'!$I$180</f>
        <v>3154.1025098290256</v>
      </c>
      <c r="AL45" s="22">
        <f>'[41]Arc Results'!$I$191</f>
        <v>3645.9679150342386</v>
      </c>
      <c r="AM45" s="22">
        <f>'[41]Arc Results'!$I$81</f>
        <v>1510.2187106833073</v>
      </c>
      <c r="AN45" s="22">
        <f>'[41]Arc Results'!$I$92</f>
        <v>2541.3980362537764</v>
      </c>
      <c r="AP45" s="9">
        <f t="shared" si="26"/>
        <v>2</v>
      </c>
      <c r="AQ45" s="9">
        <f t="shared" si="27"/>
        <v>1.1784020992622337</v>
      </c>
      <c r="AR45" s="9">
        <f t="shared" si="28"/>
        <v>1.0506886291831539</v>
      </c>
      <c r="AS45" s="9">
        <f t="shared" si="29"/>
        <v>0.99999999999999978</v>
      </c>
      <c r="AT45" s="9">
        <f t="shared" si="30"/>
        <v>1.1030321304799187</v>
      </c>
      <c r="AU45" s="9">
        <f t="shared" si="31"/>
        <v>1.0723323987067535</v>
      </c>
      <c r="AV45" s="9">
        <f t="shared" si="32"/>
        <v>1.2545105793508267</v>
      </c>
    </row>
    <row r="46" spans="1:48" ht="15.75">
      <c r="A46">
        <f t="shared" si="43"/>
        <v>42</v>
      </c>
      <c r="B46" s="9">
        <v>2020</v>
      </c>
      <c r="C46" s="9" t="s">
        <v>89</v>
      </c>
      <c r="D46" s="9" t="s">
        <v>88</v>
      </c>
      <c r="E46" s="7" t="s">
        <v>6</v>
      </c>
      <c r="F46" s="20" t="s">
        <v>77</v>
      </c>
      <c r="G46" s="7" t="s">
        <v>8</v>
      </c>
      <c r="H46" s="7" t="s">
        <v>9</v>
      </c>
      <c r="I46" s="9" t="s">
        <v>45</v>
      </c>
      <c r="J46" s="9">
        <v>500</v>
      </c>
      <c r="K46" s="9">
        <v>0.8</v>
      </c>
      <c r="L46" s="21">
        <f>'[42]Arc Results'!$I$10960+'[42]Arc Results'!$I$10971+'[42]Arc Results'!$I$10982+'[42]Arc Results'!$I$10993+'[42]Arc Results'!$I$11004+'[42]Arc Results'!$I$11015+'[42]Arc Results'!$I$11026+'[42]Arc Results'!$I$11037+'[42]Arc Results'!$I$11048+'[42]Arc Results'!$I$11059+'[42]Arc Results'!$I$11070+'[42]Arc Results'!$I$11081+'[42]Arc Results'!$I$11092+'[42]Arc Results'!$I$11103+'[42]Arc Results'!$I$11114+'[42]Arc Results'!$I$11125+'[42]Arc Results'!$I$11136+'[42]Arc Results'!$I$11147+'[42]Arc Results'!$I$11158+'[42]Arc Results'!$I$11169+'[42]Arc Results'!$I$11180+'[42]Arc Results'!$I$11191+'[42]Arc Results'!$I$11202+'[42]Arc Results'!$I$11213+'[42]Arc Results'!$I$11224+'[42]Arc Results'!$I$11235+'[42]Arc Results'!$I$11246+'[42]Arc Results'!$I$11257+'[42]Arc Results'!$I$11268</f>
        <v>0</v>
      </c>
      <c r="M46" s="21">
        <f>'[42]Arc Results'!$I$257</f>
        <v>14223.844769725045</v>
      </c>
      <c r="N46" s="21">
        <f t="shared" si="44"/>
        <v>2375.4691144908611</v>
      </c>
      <c r="O46" s="21">
        <f t="shared" si="45"/>
        <v>14514.106564378515</v>
      </c>
      <c r="P46" s="22">
        <f t="shared" si="46"/>
        <v>3771.8707106833085</v>
      </c>
      <c r="Q46" s="22">
        <f t="shared" si="47"/>
        <v>699.67296072507543</v>
      </c>
      <c r="R46" s="22">
        <f t="shared" si="48"/>
        <v>187</v>
      </c>
      <c r="S46" s="22">
        <f t="shared" si="49"/>
        <v>0</v>
      </c>
      <c r="T46" s="22">
        <f t="shared" si="50"/>
        <v>6474.1675509147017</v>
      </c>
      <c r="U46" s="21"/>
      <c r="V46" s="21"/>
      <c r="W46" s="21"/>
      <c r="X46" s="23">
        <f t="shared" si="51"/>
        <v>0</v>
      </c>
      <c r="Y46" s="22"/>
      <c r="Z46" s="24">
        <f t="shared" si="52"/>
        <v>42246.131670917508</v>
      </c>
      <c r="AA46" s="22">
        <f>'[42]Arc Results'!$I$15</f>
        <v>0</v>
      </c>
      <c r="AB46" s="22">
        <f>'[42]Arc Results'!$I$26</f>
        <v>0</v>
      </c>
      <c r="AC46" s="22">
        <f>'[42]Arc Results'!$I$48</f>
        <v>326.22432024169183</v>
      </c>
      <c r="AD46" s="22">
        <f>'[42]Arc Results'!$I$59</f>
        <v>373.44864048338366</v>
      </c>
      <c r="AE46" s="22">
        <f>'[42]Arc Results'!$I$114</f>
        <v>0</v>
      </c>
      <c r="AF46" s="22">
        <f>'[42]Arc Results'!$I$125</f>
        <v>187</v>
      </c>
      <c r="AG46" s="22">
        <f>'[42]Arc Results'!$I$147</f>
        <v>0</v>
      </c>
      <c r="AH46" s="22">
        <f>'[42]Arc Results'!$I$158</f>
        <v>2375.4691144908611</v>
      </c>
      <c r="AI46" s="22">
        <f>'[42]Arc Results'!$I$213</f>
        <v>5562.8742437095962</v>
      </c>
      <c r="AJ46" s="22">
        <f>'[42]Arc Results'!$I$224</f>
        <v>8951.232320668918</v>
      </c>
      <c r="AK46" s="22">
        <f>'[42]Arc Results'!$I$180</f>
        <v>2953.9306759616411</v>
      </c>
      <c r="AL46" s="22">
        <f>'[42]Arc Results'!$I$191</f>
        <v>3520.2368749530606</v>
      </c>
      <c r="AM46" s="22">
        <f>'[42]Arc Results'!$I$81</f>
        <v>1457.8707106833085</v>
      </c>
      <c r="AN46" s="22">
        <f>'[42]Arc Results'!$I$92</f>
        <v>2314</v>
      </c>
      <c r="AP46" s="9" t="e">
        <f t="shared" si="26"/>
        <v>#DIV/0!</v>
      </c>
      <c r="AQ46" s="9">
        <f t="shared" si="27"/>
        <v>1.0674948481541333</v>
      </c>
      <c r="AR46" s="9">
        <f t="shared" si="28"/>
        <v>2</v>
      </c>
      <c r="AS46" s="9">
        <f t="shared" si="29"/>
        <v>2</v>
      </c>
      <c r="AT46" s="9">
        <f t="shared" si="30"/>
        <v>1.2334527490155855</v>
      </c>
      <c r="AU46" s="9">
        <f t="shared" si="31"/>
        <v>1.0874716625014453</v>
      </c>
      <c r="AV46" s="9">
        <f t="shared" si="32"/>
        <v>1.2269773687872763</v>
      </c>
    </row>
    <row r="47" spans="1:48" ht="15.75">
      <c r="A47">
        <f t="shared" si="43"/>
        <v>43</v>
      </c>
      <c r="B47" s="9">
        <v>2020</v>
      </c>
      <c r="C47" s="9" t="s">
        <v>89</v>
      </c>
      <c r="D47" s="9" t="s">
        <v>88</v>
      </c>
      <c r="E47" s="7" t="s">
        <v>6</v>
      </c>
      <c r="F47" s="20" t="s">
        <v>78</v>
      </c>
      <c r="G47" s="7" t="s">
        <v>8</v>
      </c>
      <c r="H47" s="7" t="s">
        <v>9</v>
      </c>
      <c r="I47" s="9" t="s">
        <v>45</v>
      </c>
      <c r="J47" s="9">
        <v>500</v>
      </c>
      <c r="K47" s="9">
        <v>0.8</v>
      </c>
      <c r="L47" s="21">
        <f>'[43]Arc Results'!$I$10960+'[43]Arc Results'!$I$10971+'[43]Arc Results'!$I$10982+'[43]Arc Results'!$I$10993+'[43]Arc Results'!$I$11004+'[43]Arc Results'!$I$11015+'[43]Arc Results'!$I$11026+'[43]Arc Results'!$I$11037+'[43]Arc Results'!$I$11048+'[43]Arc Results'!$I$11059+'[43]Arc Results'!$I$11070+'[43]Arc Results'!$I$11081+'[43]Arc Results'!$I$11092+'[43]Arc Results'!$I$11103+'[43]Arc Results'!$I$11114+'[43]Arc Results'!$I$11125+'[43]Arc Results'!$I$11136+'[43]Arc Results'!$I$11147+'[43]Arc Results'!$I$11158+'[43]Arc Results'!$I$11169+'[43]Arc Results'!$I$11180+'[43]Arc Results'!$I$11191+'[43]Arc Results'!$I$11202+'[43]Arc Results'!$I$11213+'[43]Arc Results'!$I$11224+'[43]Arc Results'!$I$11235+'[43]Arc Results'!$I$11246+'[43]Arc Results'!$I$11257+'[43]Arc Results'!$I$11268</f>
        <v>0</v>
      </c>
      <c r="M47" s="21">
        <f>'[43]Arc Results'!$I$257</f>
        <v>14223.844769725045</v>
      </c>
      <c r="N47" s="21">
        <f t="shared" ref="N47" si="53">SUM(AG47:AH47)</f>
        <v>1116.9768647381966</v>
      </c>
      <c r="O47" s="21">
        <f t="shared" ref="O47" si="54">SUM(AI47:AJ47)</f>
        <v>4960.7373120596249</v>
      </c>
      <c r="P47" s="22">
        <f t="shared" ref="P47" si="55">SUM(AM47:AN47)</f>
        <v>15008.796078431475</v>
      </c>
      <c r="Q47" s="22">
        <f t="shared" ref="Q47" si="56">SUM(AC47:AD47)</f>
        <v>279</v>
      </c>
      <c r="R47" s="22">
        <f t="shared" ref="R47" si="57">SUM(AE47:AF47)</f>
        <v>187</v>
      </c>
      <c r="S47" s="22">
        <f t="shared" ref="S47" si="58">SUM(AA47:AB47)</f>
        <v>0</v>
      </c>
      <c r="T47" s="22">
        <f t="shared" ref="T47" si="59">SUM(AK47:AL47)</f>
        <v>6469.7766459631694</v>
      </c>
      <c r="U47" s="21"/>
      <c r="V47" s="21"/>
      <c r="W47" s="21"/>
      <c r="X47" s="23">
        <f t="shared" ref="X47" si="60">SUM(U47:W47)</f>
        <v>0</v>
      </c>
      <c r="Y47" s="22"/>
      <c r="Z47" s="24">
        <f t="shared" ref="Z47" si="61">M47+N47+O47+P47+Q47+R47+S47+T47</f>
        <v>42246.131670917508</v>
      </c>
      <c r="AA47" s="22">
        <f>'[43]Arc Results'!$I$15</f>
        <v>0</v>
      </c>
      <c r="AB47" s="22">
        <f>'[43]Arc Results'!$I$26</f>
        <v>0</v>
      </c>
      <c r="AC47" s="22">
        <f>'[43]Arc Results'!$I$48</f>
        <v>0</v>
      </c>
      <c r="AD47" s="22">
        <f>'[43]Arc Results'!$I$59</f>
        <v>279</v>
      </c>
      <c r="AE47" s="22">
        <f>'[43]Arc Results'!$I$114</f>
        <v>0</v>
      </c>
      <c r="AF47" s="22">
        <f>'[43]Arc Results'!$I$125</f>
        <v>187</v>
      </c>
      <c r="AG47" s="22">
        <f>'[43]Arc Results'!$I$147</f>
        <v>47.89139999999842</v>
      </c>
      <c r="AH47" s="22">
        <f>'[43]Arc Results'!$I$158</f>
        <v>1069.0854647381982</v>
      </c>
      <c r="AI47" s="22">
        <f>'[43]Arc Results'!$I$213</f>
        <v>960.73731205962508</v>
      </c>
      <c r="AJ47" s="22">
        <f>'[43]Arc Results'!$I$224</f>
        <v>4000</v>
      </c>
      <c r="AK47" s="22">
        <f>'[43]Arc Results'!$I$180</f>
        <v>3060.0599910301357</v>
      </c>
      <c r="AL47" s="22">
        <f>'[43]Arc Results'!$I$191</f>
        <v>3409.7166549330341</v>
      </c>
      <c r="AM47" s="22">
        <f>'[43]Arc Results'!$I$81</f>
        <v>6232.211247506475</v>
      </c>
      <c r="AN47" s="22">
        <f>'[43]Arc Results'!$I$92</f>
        <v>8776.5848309249996</v>
      </c>
      <c r="AP47" s="9" t="e">
        <f t="shared" si="26"/>
        <v>#DIV/0!</v>
      </c>
      <c r="AQ47" s="9">
        <f t="shared" si="27"/>
        <v>2</v>
      </c>
      <c r="AR47" s="9">
        <f t="shared" si="28"/>
        <v>2</v>
      </c>
      <c r="AS47" s="9">
        <f t="shared" si="29"/>
        <v>1.9142481791487715</v>
      </c>
      <c r="AT47" s="9">
        <f t="shared" si="30"/>
        <v>1.6126635007566079</v>
      </c>
      <c r="AU47" s="9">
        <f t="shared" si="31"/>
        <v>1.0540446267370092</v>
      </c>
      <c r="AV47" s="9">
        <f t="shared" si="32"/>
        <v>1.1695254949246021</v>
      </c>
    </row>
    <row r="48" spans="1:48" ht="15.75">
      <c r="A48">
        <f t="shared" si="43"/>
        <v>44</v>
      </c>
      <c r="B48" s="9">
        <v>2020</v>
      </c>
      <c r="C48" s="9" t="s">
        <v>89</v>
      </c>
      <c r="D48" s="9" t="s">
        <v>88</v>
      </c>
      <c r="E48" s="7" t="s">
        <v>6</v>
      </c>
      <c r="F48" s="20" t="s">
        <v>79</v>
      </c>
      <c r="G48" s="7" t="s">
        <v>8</v>
      </c>
      <c r="H48" s="7" t="s">
        <v>9</v>
      </c>
      <c r="I48" s="9" t="s">
        <v>45</v>
      </c>
      <c r="J48" s="9">
        <v>500</v>
      </c>
      <c r="K48" s="9">
        <v>0.8</v>
      </c>
      <c r="L48" s="21">
        <f>'[44]Arc Results'!$I$10960+'[44]Arc Results'!$I$10971+'[44]Arc Results'!$I$10982+'[44]Arc Results'!$I$10993+'[44]Arc Results'!$I$11004+'[44]Arc Results'!$I$11015+'[44]Arc Results'!$I$11026+'[44]Arc Results'!$I$11037+'[44]Arc Results'!$I$11048+'[44]Arc Results'!$I$11059+'[44]Arc Results'!$I$11070+'[44]Arc Results'!$I$11081+'[44]Arc Results'!$I$11092+'[44]Arc Results'!$I$11103+'[44]Arc Results'!$I$11114+'[44]Arc Results'!$I$11125+'[44]Arc Results'!$I$11136+'[44]Arc Results'!$I$11147+'[44]Arc Results'!$I$11158+'[44]Arc Results'!$I$11169+'[44]Arc Results'!$I$11180+'[44]Arc Results'!$I$11191+'[44]Arc Results'!$I$11202+'[44]Arc Results'!$I$11213+'[44]Arc Results'!$I$11224+'[44]Arc Results'!$I$11235+'[44]Arc Results'!$I$11246+'[44]Arc Results'!$I$11257+'[44]Arc Results'!$I$11268</f>
        <v>3305.7796851088183</v>
      </c>
      <c r="M48" s="21">
        <f>'[44]Arc Results'!$I$257</f>
        <v>14223.844769725045</v>
      </c>
      <c r="N48" s="21">
        <f t="shared" ref="N48:N56" si="62">SUM(AG48:AH48)</f>
        <v>5520.947885196374</v>
      </c>
      <c r="O48" s="21">
        <f t="shared" ref="O48:O56" si="63">SUM(AI48:AJ48)</f>
        <v>8277.7812070756445</v>
      </c>
      <c r="P48" s="22">
        <f t="shared" ref="P48:P56" si="64">SUM(AM48:AN48)</f>
        <v>4969.0970543806652</v>
      </c>
      <c r="Q48" s="22">
        <f t="shared" ref="Q48:Q56" si="65">SUM(AC48:AD48)</f>
        <v>888.57024169184285</v>
      </c>
      <c r="R48" s="22">
        <f t="shared" ref="R48:R56" si="66">SUM(AE48:AF48)</f>
        <v>403.95468277945616</v>
      </c>
      <c r="S48" s="22">
        <f t="shared" ref="S48:S56" si="67">SUM(AA48:AB48)</f>
        <v>670</v>
      </c>
      <c r="T48" s="22">
        <f t="shared" ref="T48:T56" si="68">SUM(AK48:AL48)</f>
        <v>7291.9358300684835</v>
      </c>
      <c r="U48" s="21"/>
      <c r="V48" s="21"/>
      <c r="W48" s="21"/>
      <c r="X48" s="23">
        <f t="shared" ref="X48:X56" si="69">SUM(U48:W48)</f>
        <v>0</v>
      </c>
      <c r="Y48" s="22"/>
      <c r="Z48" s="24">
        <f t="shared" ref="Z48:Z56" si="70">M48+N48+O48+P48+Q48+R48+S48+T48</f>
        <v>42246.131670917508</v>
      </c>
      <c r="AA48" s="22">
        <f>'[44]Arc Results'!$I$15</f>
        <v>335</v>
      </c>
      <c r="AB48" s="22">
        <f>'[44]Arc Results'!$I$26</f>
        <v>335</v>
      </c>
      <c r="AC48" s="22">
        <f>'[44]Arc Results'!$I$48</f>
        <v>373.44864048338366</v>
      </c>
      <c r="AD48" s="22">
        <f>'[44]Arc Results'!$I$59</f>
        <v>515.1216012084592</v>
      </c>
      <c r="AE48" s="22">
        <f>'[44]Arc Results'!$I$114</f>
        <v>191.99244712990935</v>
      </c>
      <c r="AF48" s="22">
        <f>'[44]Arc Results'!$I$125</f>
        <v>211.96223564954681</v>
      </c>
      <c r="AG48" s="22">
        <f>'[44]Arc Results'!$I$147</f>
        <v>2745</v>
      </c>
      <c r="AH48" s="22">
        <f>'[44]Arc Results'!$I$158</f>
        <v>2775.9478851963745</v>
      </c>
      <c r="AI48" s="22">
        <f>'[44]Arc Results'!$I$213</f>
        <v>4001.270633057517</v>
      </c>
      <c r="AJ48" s="22">
        <f>'[44]Arc Results'!$I$224</f>
        <v>4276.510574018127</v>
      </c>
      <c r="AK48" s="22">
        <f>'[44]Arc Results'!$I$180</f>
        <v>3645.9679150342427</v>
      </c>
      <c r="AL48" s="22">
        <f>'[44]Arc Results'!$I$191</f>
        <v>3645.9679150342404</v>
      </c>
      <c r="AM48" s="22">
        <f>'[44]Arc Results'!$I$81</f>
        <v>2314</v>
      </c>
      <c r="AN48" s="22">
        <f>'[44]Arc Results'!$I$92</f>
        <v>2655.0970543806648</v>
      </c>
      <c r="AP48" s="9">
        <f t="shared" si="26"/>
        <v>1</v>
      </c>
      <c r="AQ48" s="9">
        <f t="shared" si="27"/>
        <v>1.1594392362896706</v>
      </c>
      <c r="AR48" s="9">
        <f t="shared" si="28"/>
        <v>1.0494357148733444</v>
      </c>
      <c r="AS48" s="9">
        <f t="shared" si="29"/>
        <v>1.0056055383676701</v>
      </c>
      <c r="AT48" s="9">
        <f t="shared" si="30"/>
        <v>1.0332504488914664</v>
      </c>
      <c r="AU48" s="9">
        <f t="shared" si="31"/>
        <v>0.99999999999999967</v>
      </c>
      <c r="AV48" s="9">
        <f t="shared" si="32"/>
        <v>1.0686436691913592</v>
      </c>
    </row>
    <row r="49" spans="1:48" ht="15.75">
      <c r="A49">
        <f t="shared" si="43"/>
        <v>45</v>
      </c>
      <c r="B49" s="9">
        <v>2020</v>
      </c>
      <c r="C49" s="9" t="s">
        <v>89</v>
      </c>
      <c r="D49" s="9" t="s">
        <v>88</v>
      </c>
      <c r="E49" s="7" t="s">
        <v>6</v>
      </c>
      <c r="F49" s="20" t="s">
        <v>80</v>
      </c>
      <c r="G49" s="7" t="s">
        <v>8</v>
      </c>
      <c r="H49" s="7" t="s">
        <v>9</v>
      </c>
      <c r="I49" s="9" t="s">
        <v>45</v>
      </c>
      <c r="J49" s="9">
        <v>500</v>
      </c>
      <c r="K49" s="9">
        <v>0.8</v>
      </c>
      <c r="L49" s="21">
        <f>'[45]Arc Results'!$I$10960+'[45]Arc Results'!$I$10971+'[45]Arc Results'!$I$10982+'[45]Arc Results'!$I$10993+'[45]Arc Results'!$I$11004+'[45]Arc Results'!$I$11015+'[45]Arc Results'!$I$11026+'[45]Arc Results'!$I$11037+'[45]Arc Results'!$I$11048+'[45]Arc Results'!$I$11059+'[45]Arc Results'!$I$11070+'[45]Arc Results'!$I$11081+'[45]Arc Results'!$I$11092+'[45]Arc Results'!$I$11103+'[45]Arc Results'!$I$11114+'[45]Arc Results'!$I$11125+'[45]Arc Results'!$I$11136+'[45]Arc Results'!$I$11147+'[45]Arc Results'!$I$11158+'[45]Arc Results'!$I$11169+'[45]Arc Results'!$I$11180+'[45]Arc Results'!$I$11191+'[45]Arc Results'!$I$11202+'[45]Arc Results'!$I$11213+'[45]Arc Results'!$I$11224+'[45]Arc Results'!$I$11235+'[45]Arc Results'!$I$11246+'[45]Arc Results'!$I$11257+'[45]Arc Results'!$I$11268</f>
        <v>2321.0081594290573</v>
      </c>
      <c r="M49" s="21">
        <f>'[45]Arc Results'!$I$257</f>
        <v>14223.844769725045</v>
      </c>
      <c r="N49" s="21">
        <f t="shared" si="62"/>
        <v>4104.3183977524441</v>
      </c>
      <c r="O49" s="21">
        <f t="shared" si="63"/>
        <v>7807.6123336852042</v>
      </c>
      <c r="P49" s="22">
        <f t="shared" si="64"/>
        <v>4519.1042671787745</v>
      </c>
      <c r="Q49" s="22">
        <f t="shared" si="65"/>
        <v>3885.5</v>
      </c>
      <c r="R49" s="22">
        <f t="shared" si="66"/>
        <v>341.48978851963761</v>
      </c>
      <c r="S49" s="22">
        <f t="shared" si="67"/>
        <v>72.326283987915403</v>
      </c>
      <c r="T49" s="22">
        <f t="shared" si="68"/>
        <v>7291.9358300684826</v>
      </c>
      <c r="U49" s="21"/>
      <c r="V49" s="21"/>
      <c r="W49" s="21"/>
      <c r="X49" s="23">
        <f t="shared" si="69"/>
        <v>0</v>
      </c>
      <c r="Y49" s="22"/>
      <c r="Z49" s="24">
        <f t="shared" si="70"/>
        <v>42246.131670917508</v>
      </c>
      <c r="AA49" s="22">
        <f>'[45]Arc Results'!$I$15</f>
        <v>0</v>
      </c>
      <c r="AB49" s="22">
        <f>'[45]Arc Results'!$I$26</f>
        <v>72.326283987915403</v>
      </c>
      <c r="AC49" s="22">
        <f>'[45]Arc Results'!$I$48</f>
        <v>1942.7500000000002</v>
      </c>
      <c r="AD49" s="22">
        <f>'[45]Arc Results'!$I$59</f>
        <v>1942.75</v>
      </c>
      <c r="AE49" s="22">
        <f>'[45]Arc Results'!$I$114</f>
        <v>134.52000000000012</v>
      </c>
      <c r="AF49" s="22">
        <f>'[45]Arc Results'!$I$125</f>
        <v>206.96978851963746</v>
      </c>
      <c r="AG49" s="22">
        <f>'[45]Arc Results'!$I$147</f>
        <v>1334.5600895953439</v>
      </c>
      <c r="AH49" s="22">
        <f>'[45]Arc Results'!$I$158</f>
        <v>2769.7583081570997</v>
      </c>
      <c r="AI49" s="22">
        <f>'[45]Arc Results'!$I$213</f>
        <v>3586.4038744707032</v>
      </c>
      <c r="AJ49" s="22">
        <f>'[45]Arc Results'!$I$224</f>
        <v>4221.2084592145011</v>
      </c>
      <c r="AK49" s="22">
        <f>'[45]Arc Results'!$I$180</f>
        <v>3645.9679150342436</v>
      </c>
      <c r="AL49" s="22">
        <f>'[45]Arc Results'!$I$191</f>
        <v>3645.967915034239</v>
      </c>
      <c r="AM49" s="22">
        <f>'[45]Arc Results'!$I$81</f>
        <v>1977.7062309249984</v>
      </c>
      <c r="AN49" s="22">
        <f>'[45]Arc Results'!$I$92</f>
        <v>2541.3980362537764</v>
      </c>
      <c r="AP49" s="9">
        <f t="shared" si="26"/>
        <v>2</v>
      </c>
      <c r="AQ49" s="9">
        <f t="shared" si="27"/>
        <v>1</v>
      </c>
      <c r="AR49" s="9">
        <f t="shared" si="28"/>
        <v>1.2121579940463463</v>
      </c>
      <c r="AS49" s="9">
        <f t="shared" si="29"/>
        <v>1.3496800392843988</v>
      </c>
      <c r="AT49" s="9">
        <f t="shared" si="30"/>
        <v>1.0813058535200313</v>
      </c>
      <c r="AU49" s="9">
        <f t="shared" si="31"/>
        <v>0.99999999999999933</v>
      </c>
      <c r="AV49" s="9">
        <f t="shared" si="32"/>
        <v>1.1247352953156544</v>
      </c>
    </row>
    <row r="50" spans="1:48" ht="15.75">
      <c r="A50">
        <f t="shared" si="43"/>
        <v>46</v>
      </c>
      <c r="B50" s="9">
        <v>2020</v>
      </c>
      <c r="C50" s="9" t="s">
        <v>89</v>
      </c>
      <c r="D50" s="9" t="s">
        <v>88</v>
      </c>
      <c r="E50" s="7" t="s">
        <v>6</v>
      </c>
      <c r="F50" s="20" t="s">
        <v>81</v>
      </c>
      <c r="G50" s="7" t="s">
        <v>8</v>
      </c>
      <c r="H50" s="7" t="s">
        <v>9</v>
      </c>
      <c r="I50" s="9" t="s">
        <v>45</v>
      </c>
      <c r="J50" s="9">
        <v>500</v>
      </c>
      <c r="K50" s="9">
        <v>0.8</v>
      </c>
      <c r="L50" s="21">
        <f>'[46]Arc Results'!$I$10960+'[46]Arc Results'!$I$10971+'[46]Arc Results'!$I$10982+'[46]Arc Results'!$I$10993+'[46]Arc Results'!$I$11004+'[46]Arc Results'!$I$11015+'[46]Arc Results'!$I$11026+'[46]Arc Results'!$I$11037+'[46]Arc Results'!$I$11048+'[46]Arc Results'!$I$11059+'[46]Arc Results'!$I$11070+'[46]Arc Results'!$I$11081+'[46]Arc Results'!$I$11092+'[46]Arc Results'!$I$11103+'[46]Arc Results'!$I$11114+'[46]Arc Results'!$I$11125+'[46]Arc Results'!$I$11136+'[46]Arc Results'!$I$11147+'[46]Arc Results'!$I$11158+'[46]Arc Results'!$I$11169+'[46]Arc Results'!$I$11180+'[46]Arc Results'!$I$11191+'[46]Arc Results'!$I$11202+'[46]Arc Results'!$I$11213+'[46]Arc Results'!$I$11224+'[46]Arc Results'!$I$11235+'[46]Arc Results'!$I$11246+'[46]Arc Results'!$I$11257+'[46]Arc Results'!$I$11268</f>
        <v>3214.6674582028822</v>
      </c>
      <c r="M50" s="21">
        <f>'[46]Arc Results'!$I$257</f>
        <v>14223.844769725045</v>
      </c>
      <c r="N50" s="21">
        <f t="shared" si="62"/>
        <v>5527.1374622356489</v>
      </c>
      <c r="O50" s="21">
        <f t="shared" si="63"/>
        <v>8364.1743870267801</v>
      </c>
      <c r="P50" s="22">
        <f t="shared" si="64"/>
        <v>5104.0736629491685</v>
      </c>
      <c r="Q50" s="22">
        <f t="shared" si="65"/>
        <v>935.79456193353474</v>
      </c>
      <c r="R50" s="22">
        <f t="shared" si="66"/>
        <v>672.6</v>
      </c>
      <c r="S50" s="22">
        <f t="shared" si="67"/>
        <v>126.57099697885197</v>
      </c>
      <c r="T50" s="22">
        <f t="shared" si="68"/>
        <v>7291.9358300684808</v>
      </c>
      <c r="U50" s="21"/>
      <c r="V50" s="21"/>
      <c r="W50" s="21"/>
      <c r="X50" s="23">
        <f t="shared" si="69"/>
        <v>0</v>
      </c>
      <c r="Y50" s="22"/>
      <c r="Z50" s="24">
        <f t="shared" si="70"/>
        <v>42246.131670917508</v>
      </c>
      <c r="AA50" s="22">
        <f>'[46]Arc Results'!$I$15</f>
        <v>18.081570996978851</v>
      </c>
      <c r="AB50" s="22">
        <f>'[46]Arc Results'!$I$26</f>
        <v>108.48942598187311</v>
      </c>
      <c r="AC50" s="22">
        <f>'[46]Arc Results'!$I$48</f>
        <v>373.44864048338366</v>
      </c>
      <c r="AD50" s="22">
        <f>'[46]Arc Results'!$I$59</f>
        <v>562.34592145015108</v>
      </c>
      <c r="AE50" s="22">
        <f>'[46]Arc Results'!$I$114</f>
        <v>336.3</v>
      </c>
      <c r="AF50" s="22">
        <f>'[46]Arc Results'!$I$125</f>
        <v>336.3</v>
      </c>
      <c r="AG50" s="22">
        <f>'[46]Arc Results'!$I$147</f>
        <v>2751.1895770392748</v>
      </c>
      <c r="AH50" s="22">
        <f>'[46]Arc Results'!$I$158</f>
        <v>2775.9478851963745</v>
      </c>
      <c r="AI50" s="22">
        <f>'[46]Arc Results'!$I$213</f>
        <v>4055.3021148036255</v>
      </c>
      <c r="AJ50" s="22">
        <f>'[46]Arc Results'!$I$224</f>
        <v>4308.8722722231551</v>
      </c>
      <c r="AK50" s="22">
        <f>'[46]Arc Results'!$I$180</f>
        <v>3645.9679150342404</v>
      </c>
      <c r="AL50" s="22">
        <f>'[46]Arc Results'!$I$191</f>
        <v>3645.9679150342404</v>
      </c>
      <c r="AM50" s="22">
        <f>'[46]Arc Results'!$I$81</f>
        <v>2335.2775904416158</v>
      </c>
      <c r="AN50" s="22">
        <f>'[46]Arc Results'!$I$92</f>
        <v>2768.7960725075527</v>
      </c>
      <c r="AP50" s="9">
        <f t="shared" si="26"/>
        <v>1.7142857142857142</v>
      </c>
      <c r="AQ50" s="9">
        <f t="shared" si="27"/>
        <v>1.2018576391130855</v>
      </c>
      <c r="AR50" s="9">
        <f t="shared" si="28"/>
        <v>1</v>
      </c>
      <c r="AS50" s="9">
        <f t="shared" si="29"/>
        <v>1.0044794087945637</v>
      </c>
      <c r="AT50" s="9">
        <f t="shared" si="30"/>
        <v>1.0303162207871741</v>
      </c>
      <c r="AU50" s="9">
        <f t="shared" si="31"/>
        <v>1</v>
      </c>
      <c r="AV50" s="9">
        <f t="shared" si="32"/>
        <v>1.0849357808475373</v>
      </c>
    </row>
    <row r="51" spans="1:48" ht="15.75">
      <c r="A51">
        <f t="shared" si="43"/>
        <v>47</v>
      </c>
      <c r="B51" s="9">
        <v>2020</v>
      </c>
      <c r="C51" s="9" t="s">
        <v>89</v>
      </c>
      <c r="D51" s="9" t="s">
        <v>88</v>
      </c>
      <c r="E51" s="7" t="s">
        <v>6</v>
      </c>
      <c r="F51" s="20" t="s">
        <v>82</v>
      </c>
      <c r="G51" s="7" t="s">
        <v>8</v>
      </c>
      <c r="H51" s="7" t="s">
        <v>9</v>
      </c>
      <c r="I51" s="9" t="s">
        <v>45</v>
      </c>
      <c r="J51" s="9">
        <v>500</v>
      </c>
      <c r="K51" s="9">
        <v>0.8</v>
      </c>
      <c r="L51" s="21">
        <f>'[47]Arc Results'!$I$10960+'[47]Arc Results'!$I$10971+'[47]Arc Results'!$I$10982+'[47]Arc Results'!$I$10993+'[47]Arc Results'!$I$11004+'[47]Arc Results'!$I$11015+'[47]Arc Results'!$I$11026+'[47]Arc Results'!$I$11037+'[47]Arc Results'!$I$11048+'[47]Arc Results'!$I$11059+'[47]Arc Results'!$I$11070+'[47]Arc Results'!$I$11081+'[47]Arc Results'!$I$11092+'[47]Arc Results'!$I$11103+'[47]Arc Results'!$I$11114+'[47]Arc Results'!$I$11125+'[47]Arc Results'!$I$11136+'[47]Arc Results'!$I$11147+'[47]Arc Results'!$I$11158+'[47]Arc Results'!$I$11169+'[47]Arc Results'!$I$11180+'[47]Arc Results'!$I$11191+'[47]Arc Results'!$I$11202+'[47]Arc Results'!$I$11213+'[47]Arc Results'!$I$11224+'[47]Arc Results'!$I$11235+'[47]Arc Results'!$I$11246+'[47]Arc Results'!$I$11257+'[47]Arc Results'!$I$11268</f>
        <v>3215.4265884320789</v>
      </c>
      <c r="M51" s="21">
        <f>'[47]Arc Results'!$I$257</f>
        <v>14223.844769725045</v>
      </c>
      <c r="N51" s="21">
        <f t="shared" si="62"/>
        <v>0</v>
      </c>
      <c r="O51" s="21">
        <f t="shared" si="63"/>
        <v>9760.3057539034344</v>
      </c>
      <c r="P51" s="22">
        <f t="shared" si="64"/>
        <v>7811.5725075528699</v>
      </c>
      <c r="Q51" s="22">
        <f t="shared" si="65"/>
        <v>2069.1782477341389</v>
      </c>
      <c r="R51" s="22">
        <f t="shared" si="66"/>
        <v>528.76586102719034</v>
      </c>
      <c r="S51" s="22">
        <f t="shared" si="67"/>
        <v>560.5287009063444</v>
      </c>
      <c r="T51" s="22">
        <f t="shared" si="68"/>
        <v>7291.9358300684817</v>
      </c>
      <c r="U51" s="21"/>
      <c r="V51" s="21"/>
      <c r="W51" s="21"/>
      <c r="X51" s="23">
        <f t="shared" si="69"/>
        <v>0</v>
      </c>
      <c r="Y51" s="22"/>
      <c r="Z51" s="24">
        <f t="shared" si="70"/>
        <v>42246.131670917508</v>
      </c>
      <c r="AA51" s="22">
        <f>'[47]Arc Results'!$I$15</f>
        <v>235.06042296072508</v>
      </c>
      <c r="AB51" s="22">
        <f>'[47]Arc Results'!$I$26</f>
        <v>325.46827794561932</v>
      </c>
      <c r="AC51" s="22">
        <f>'[47]Arc Results'!$I$48</f>
        <v>940.14048338368582</v>
      </c>
      <c r="AD51" s="22">
        <f>'[47]Arc Results'!$I$59</f>
        <v>1129.037764350453</v>
      </c>
      <c r="AE51" s="22">
        <f>'[47]Arc Results'!$I$114</f>
        <v>251.90181268882174</v>
      </c>
      <c r="AF51" s="22">
        <f>'[47]Arc Results'!$I$125</f>
        <v>276.86404833836855</v>
      </c>
      <c r="AG51" s="22">
        <f>'[47]Arc Results'!$I$147</f>
        <v>0</v>
      </c>
      <c r="AH51" s="22">
        <f>'[47]Arc Results'!$I$158</f>
        <v>0</v>
      </c>
      <c r="AI51" s="22">
        <f>'[47]Arc Results'!$I$213</f>
        <v>4764.8676874381781</v>
      </c>
      <c r="AJ51" s="22">
        <f>'[47]Arc Results'!$I$224</f>
        <v>4995.4380664652563</v>
      </c>
      <c r="AK51" s="22">
        <f>'[47]Arc Results'!$I$180</f>
        <v>3645.9679150342408</v>
      </c>
      <c r="AL51" s="22">
        <f>'[47]Arc Results'!$I$191</f>
        <v>3645.9679150342404</v>
      </c>
      <c r="AM51" s="22">
        <f>'[47]Arc Results'!$I$81</f>
        <v>3678.3882175226586</v>
      </c>
      <c r="AN51" s="22">
        <f>'[47]Arc Results'!$I$92</f>
        <v>4133.1842900302117</v>
      </c>
      <c r="AP51" s="9">
        <f t="shared" si="26"/>
        <v>1.1612903225806452</v>
      </c>
      <c r="AQ51" s="9">
        <f t="shared" si="27"/>
        <v>1.0912909659540544</v>
      </c>
      <c r="AR51" s="9">
        <f t="shared" si="28"/>
        <v>1.0472084858145998</v>
      </c>
      <c r="AS51" s="9" t="e">
        <f t="shared" si="29"/>
        <v>#DIV/0!</v>
      </c>
      <c r="AT51" s="9">
        <f t="shared" si="30"/>
        <v>1.0236232741924982</v>
      </c>
      <c r="AU51" s="9">
        <f t="shared" si="31"/>
        <v>0.99999999999999989</v>
      </c>
      <c r="AV51" s="9">
        <f t="shared" si="32"/>
        <v>1.058220809199149</v>
      </c>
    </row>
    <row r="52" spans="1:48" ht="15.75">
      <c r="A52">
        <f t="shared" si="43"/>
        <v>48</v>
      </c>
      <c r="B52" s="9">
        <v>2020</v>
      </c>
      <c r="C52" s="9" t="s">
        <v>89</v>
      </c>
      <c r="D52" s="9" t="s">
        <v>88</v>
      </c>
      <c r="E52" s="7" t="s">
        <v>6</v>
      </c>
      <c r="F52" s="20" t="s">
        <v>83</v>
      </c>
      <c r="G52" s="7" t="s">
        <v>8</v>
      </c>
      <c r="H52" s="7" t="s">
        <v>9</v>
      </c>
      <c r="I52" s="9" t="s">
        <v>45</v>
      </c>
      <c r="J52" s="9">
        <v>500</v>
      </c>
      <c r="K52" s="9">
        <v>0.8</v>
      </c>
      <c r="L52" s="21">
        <f>'[48]Arc Results'!$I$10960+'[48]Arc Results'!$I$10971+'[48]Arc Results'!$I$10982+'[48]Arc Results'!$I$10993+'[48]Arc Results'!$I$11004+'[48]Arc Results'!$I$11015+'[48]Arc Results'!$I$11026+'[48]Arc Results'!$I$11037+'[48]Arc Results'!$I$11048+'[48]Arc Results'!$I$11059+'[48]Arc Results'!$I$11070+'[48]Arc Results'!$I$11081+'[48]Arc Results'!$I$11092+'[48]Arc Results'!$I$11103+'[48]Arc Results'!$I$11114+'[48]Arc Results'!$I$11125+'[48]Arc Results'!$I$11136+'[48]Arc Results'!$I$11147+'[48]Arc Results'!$I$11158+'[48]Arc Results'!$I$11169+'[48]Arc Results'!$I$11180+'[48]Arc Results'!$I$11191+'[48]Arc Results'!$I$11202+'[48]Arc Results'!$I$11213+'[48]Arc Results'!$I$11224+'[48]Arc Results'!$I$11235+'[48]Arc Results'!$I$11246+'[48]Arc Results'!$I$11257+'[48]Arc Results'!$I$11268</f>
        <v>2247.6718164017498</v>
      </c>
      <c r="M52" s="21">
        <f>'[48]Arc Results'!$I$257</f>
        <v>14223.844769725045</v>
      </c>
      <c r="N52" s="21">
        <f t="shared" si="62"/>
        <v>5749.9622356495474</v>
      </c>
      <c r="O52" s="21">
        <f t="shared" si="63"/>
        <v>2236.7219170454373</v>
      </c>
      <c r="P52" s="22">
        <f t="shared" si="64"/>
        <v>8948.5626888217521</v>
      </c>
      <c r="Q52" s="22">
        <f t="shared" si="65"/>
        <v>2541.4214501510573</v>
      </c>
      <c r="R52" s="22">
        <f t="shared" si="66"/>
        <v>583.68277945619343</v>
      </c>
      <c r="S52" s="22">
        <f t="shared" si="67"/>
        <v>670</v>
      </c>
      <c r="T52" s="22">
        <f t="shared" si="68"/>
        <v>7291.9358300684817</v>
      </c>
      <c r="U52" s="21"/>
      <c r="V52" s="21"/>
      <c r="W52" s="21"/>
      <c r="X52" s="23">
        <f t="shared" si="69"/>
        <v>0</v>
      </c>
      <c r="Y52" s="22"/>
      <c r="Z52" s="24">
        <f t="shared" si="70"/>
        <v>42246.131670917508</v>
      </c>
      <c r="AA52" s="22">
        <f>'[48]Arc Results'!$I$15</f>
        <v>335</v>
      </c>
      <c r="AB52" s="22">
        <f>'[48]Arc Results'!$I$26</f>
        <v>335</v>
      </c>
      <c r="AC52" s="22">
        <f>'[48]Arc Results'!$I$48</f>
        <v>1176.2620845921449</v>
      </c>
      <c r="AD52" s="22">
        <f>'[48]Arc Results'!$I$59</f>
        <v>1365.1593655589124</v>
      </c>
      <c r="AE52" s="22">
        <f>'[48]Arc Results'!$I$114</f>
        <v>281.85649546827796</v>
      </c>
      <c r="AF52" s="22">
        <f>'[48]Arc Results'!$I$125</f>
        <v>301.82628398791542</v>
      </c>
      <c r="AG52" s="22">
        <f>'[48]Arc Results'!$I$147</f>
        <v>2862.6019637462236</v>
      </c>
      <c r="AH52" s="22">
        <f>'[48]Arc Results'!$I$158</f>
        <v>2887.3602719033233</v>
      </c>
      <c r="AI52" s="22">
        <f>'[48]Arc Results'!$I$213</f>
        <v>0</v>
      </c>
      <c r="AJ52" s="22">
        <f>'[48]Arc Results'!$I$224</f>
        <v>2236.7219170454373</v>
      </c>
      <c r="AK52" s="22">
        <f>'[48]Arc Results'!$I$180</f>
        <v>3645.9679150342413</v>
      </c>
      <c r="AL52" s="22">
        <f>'[48]Arc Results'!$I$191</f>
        <v>3645.9679150342404</v>
      </c>
      <c r="AM52" s="22">
        <f>'[48]Arc Results'!$I$81</f>
        <v>4246.8833081571001</v>
      </c>
      <c r="AN52" s="22">
        <f>'[48]Arc Results'!$I$92</f>
        <v>4701.6793806646529</v>
      </c>
      <c r="AP52" s="9">
        <f t="shared" si="26"/>
        <v>1</v>
      </c>
      <c r="AQ52" s="9">
        <f t="shared" si="27"/>
        <v>1.0743274126987241</v>
      </c>
      <c r="AR52" s="9">
        <f t="shared" si="28"/>
        <v>1.0342134276057329</v>
      </c>
      <c r="AS52" s="9">
        <f t="shared" si="29"/>
        <v>1.004305821002371</v>
      </c>
      <c r="AT52" s="9">
        <f t="shared" si="30"/>
        <v>2</v>
      </c>
      <c r="AU52" s="9">
        <f t="shared" si="31"/>
        <v>0.99999999999999989</v>
      </c>
      <c r="AV52" s="9">
        <f t="shared" si="32"/>
        <v>1.0508233655306085</v>
      </c>
    </row>
    <row r="53" spans="1:48" ht="15.75">
      <c r="A53">
        <f t="shared" si="43"/>
        <v>49</v>
      </c>
      <c r="B53" s="9">
        <v>2020</v>
      </c>
      <c r="C53" s="9" t="s">
        <v>89</v>
      </c>
      <c r="D53" s="9" t="s">
        <v>88</v>
      </c>
      <c r="E53" s="7" t="s">
        <v>6</v>
      </c>
      <c r="F53" s="20" t="s">
        <v>84</v>
      </c>
      <c r="G53" s="7" t="s">
        <v>8</v>
      </c>
      <c r="H53" s="7" t="s">
        <v>9</v>
      </c>
      <c r="I53" s="9" t="s">
        <v>45</v>
      </c>
      <c r="J53" s="9">
        <v>500</v>
      </c>
      <c r="K53" s="9">
        <v>0.8</v>
      </c>
      <c r="L53" s="21">
        <f>'[49]Arc Results'!$I$10960+'[49]Arc Results'!$I$10971+'[49]Arc Results'!$I$10982+'[49]Arc Results'!$I$10993+'[49]Arc Results'!$I$11004+'[49]Arc Results'!$I$11015+'[49]Arc Results'!$I$11026+'[49]Arc Results'!$I$11037+'[49]Arc Results'!$I$11048+'[49]Arc Results'!$I$11059+'[49]Arc Results'!$I$11070+'[49]Arc Results'!$I$11081+'[49]Arc Results'!$I$11092+'[49]Arc Results'!$I$11103+'[49]Arc Results'!$I$11114+'[49]Arc Results'!$I$11125+'[49]Arc Results'!$I$11136+'[49]Arc Results'!$I$11147+'[49]Arc Results'!$I$11158+'[49]Arc Results'!$I$11169+'[49]Arc Results'!$I$11180+'[49]Arc Results'!$I$11191+'[49]Arc Results'!$I$11202+'[49]Arc Results'!$I$11213+'[49]Arc Results'!$I$11224+'[49]Arc Results'!$I$11235+'[49]Arc Results'!$I$11246+'[49]Arc Results'!$I$11257+'[49]Arc Results'!$I$11268</f>
        <v>3253.8024910418271</v>
      </c>
      <c r="M53" s="21">
        <f>'[49]Arc Results'!$I$257</f>
        <v>14223.844769725045</v>
      </c>
      <c r="N53" s="21">
        <f t="shared" si="62"/>
        <v>5669.4977341389731</v>
      </c>
      <c r="O53" s="21">
        <f t="shared" si="63"/>
        <v>9603.7613293051363</v>
      </c>
      <c r="P53" s="22">
        <f t="shared" si="64"/>
        <v>2479.7810618499971</v>
      </c>
      <c r="Q53" s="22">
        <f t="shared" si="65"/>
        <v>1934.164420150119</v>
      </c>
      <c r="R53" s="22">
        <f t="shared" si="66"/>
        <v>518.78096676737164</v>
      </c>
      <c r="S53" s="22">
        <f t="shared" si="67"/>
        <v>524.36555891238675</v>
      </c>
      <c r="T53" s="22">
        <f t="shared" si="68"/>
        <v>7291.9358300684817</v>
      </c>
      <c r="U53" s="21"/>
      <c r="V53" s="21"/>
      <c r="W53" s="21"/>
      <c r="X53" s="23">
        <f t="shared" si="69"/>
        <v>0</v>
      </c>
      <c r="Y53" s="22"/>
      <c r="Z53" s="24">
        <f t="shared" si="70"/>
        <v>42246.131670917515</v>
      </c>
      <c r="AA53" s="22">
        <f>'[49]Arc Results'!$I$15</f>
        <v>216.97885196374622</v>
      </c>
      <c r="AB53" s="22">
        <f>'[49]Arc Results'!$I$26</f>
        <v>307.38670694864049</v>
      </c>
      <c r="AC53" s="22">
        <f>'[49]Arc Results'!$I$48</f>
        <v>852.35097604135763</v>
      </c>
      <c r="AD53" s="22">
        <f>'[49]Arc Results'!$I$59</f>
        <v>1081.8134441087614</v>
      </c>
      <c r="AE53" s="22">
        <f>'[49]Arc Results'!$I$114</f>
        <v>246.90936555891238</v>
      </c>
      <c r="AF53" s="22">
        <f>'[49]Arc Results'!$I$125</f>
        <v>271.8716012084592</v>
      </c>
      <c r="AG53" s="22">
        <f>'[49]Arc Results'!$I$147</f>
        <v>2819.2749244712991</v>
      </c>
      <c r="AH53" s="22">
        <f>'[49]Arc Results'!$I$158</f>
        <v>2850.2228096676736</v>
      </c>
      <c r="AI53" s="22">
        <f>'[49]Arc Results'!$I$213</f>
        <v>4663.6253776435042</v>
      </c>
      <c r="AJ53" s="22">
        <f>'[49]Arc Results'!$I$224</f>
        <v>4940.1359516616312</v>
      </c>
      <c r="AK53" s="22">
        <f>'[49]Arc Results'!$I$180</f>
        <v>3645.9679150342408</v>
      </c>
      <c r="AL53" s="22">
        <f>'[49]Arc Results'!$I$191</f>
        <v>3645.9679150342404</v>
      </c>
      <c r="AM53" s="22">
        <f>'[49]Arc Results'!$I$81</f>
        <v>1109.5950309249977</v>
      </c>
      <c r="AN53" s="22">
        <f>'[49]Arc Results'!$I$92</f>
        <v>1370.1860309249992</v>
      </c>
      <c r="AP53" s="9">
        <f t="shared" si="26"/>
        <v>1.1724137931034482</v>
      </c>
      <c r="AQ53" s="9">
        <f t="shared" si="27"/>
        <v>1.1186364849217907</v>
      </c>
      <c r="AR53" s="9">
        <f t="shared" si="28"/>
        <v>1.0481170999874792</v>
      </c>
      <c r="AS53" s="9">
        <f t="shared" si="29"/>
        <v>1.0054586643557544</v>
      </c>
      <c r="AT53" s="9">
        <f t="shared" si="30"/>
        <v>1.0287919039777025</v>
      </c>
      <c r="AU53" s="9">
        <f t="shared" si="31"/>
        <v>0.99999999999999989</v>
      </c>
      <c r="AV53" s="9">
        <f t="shared" si="32"/>
        <v>1.1050862933059067</v>
      </c>
    </row>
    <row r="54" spans="1:48" ht="15.75">
      <c r="A54">
        <f t="shared" si="43"/>
        <v>50</v>
      </c>
      <c r="B54" s="9">
        <v>2020</v>
      </c>
      <c r="C54" s="9" t="s">
        <v>89</v>
      </c>
      <c r="D54" s="9" t="s">
        <v>88</v>
      </c>
      <c r="E54" s="7" t="s">
        <v>6</v>
      </c>
      <c r="F54" s="20" t="s">
        <v>85</v>
      </c>
      <c r="G54" s="7" t="s">
        <v>8</v>
      </c>
      <c r="H54" s="7" t="s">
        <v>9</v>
      </c>
      <c r="I54" s="9" t="s">
        <v>45</v>
      </c>
      <c r="J54" s="9">
        <v>500</v>
      </c>
      <c r="K54" s="9">
        <v>0.8</v>
      </c>
      <c r="L54" s="21">
        <f>'[50]Arc Results'!$I$10960+'[50]Arc Results'!$I$10971+'[50]Arc Results'!$I$10982+'[50]Arc Results'!$I$10993+'[50]Arc Results'!$I$11004+'[50]Arc Results'!$I$11015+'[50]Arc Results'!$I$11026+'[50]Arc Results'!$I$11037+'[50]Arc Results'!$I$11048+'[50]Arc Results'!$I$11059+'[50]Arc Results'!$I$11070+'[50]Arc Results'!$I$11081+'[50]Arc Results'!$I$11092+'[50]Arc Results'!$I$11103+'[50]Arc Results'!$I$11114+'[50]Arc Results'!$I$11125+'[50]Arc Results'!$I$11136+'[50]Arc Results'!$I$11147+'[50]Arc Results'!$I$11158+'[50]Arc Results'!$I$11169+'[50]Arc Results'!$I$11180+'[50]Arc Results'!$I$11191+'[50]Arc Results'!$I$11202+'[50]Arc Results'!$I$11213+'[50]Arc Results'!$I$11224+'[50]Arc Results'!$I$11235+'[50]Arc Results'!$I$11246+'[50]Arc Results'!$I$11257+'[50]Arc Results'!$I$11268</f>
        <v>3185.964730426032</v>
      </c>
      <c r="M54" s="21">
        <f>'[50]Arc Results'!$I$257</f>
        <v>14223.844769725045</v>
      </c>
      <c r="N54" s="21">
        <f t="shared" si="62"/>
        <v>5545.7061933534751</v>
      </c>
      <c r="O54" s="21">
        <f t="shared" si="63"/>
        <v>8497.7190332326281</v>
      </c>
      <c r="P54" s="22">
        <f t="shared" si="64"/>
        <v>5284.974938193458</v>
      </c>
      <c r="Q54" s="22">
        <f t="shared" si="65"/>
        <v>983.01888217522651</v>
      </c>
      <c r="R54" s="22">
        <f t="shared" si="66"/>
        <v>418.93202416918427</v>
      </c>
      <c r="S54" s="22">
        <f t="shared" si="67"/>
        <v>0</v>
      </c>
      <c r="T54" s="22">
        <f t="shared" si="68"/>
        <v>7291.9358300684826</v>
      </c>
      <c r="U54" s="21"/>
      <c r="V54" s="21"/>
      <c r="W54" s="21"/>
      <c r="X54" s="23">
        <f t="shared" si="69"/>
        <v>0</v>
      </c>
      <c r="Y54" s="22"/>
      <c r="Z54" s="24">
        <f t="shared" si="70"/>
        <v>42246.131670917493</v>
      </c>
      <c r="AA54" s="22">
        <f>'[50]Arc Results'!$I$15</f>
        <v>0</v>
      </c>
      <c r="AB54" s="22">
        <f>'[50]Arc Results'!$I$26</f>
        <v>0</v>
      </c>
      <c r="AC54" s="22">
        <f>'[50]Arc Results'!$I$48</f>
        <v>373.44864048338366</v>
      </c>
      <c r="AD54" s="22">
        <f>'[50]Arc Results'!$I$59</f>
        <v>609.57024169184285</v>
      </c>
      <c r="AE54" s="22">
        <f>'[50]Arc Results'!$I$114</f>
        <v>196.98489425981873</v>
      </c>
      <c r="AF54" s="22">
        <f>'[50]Arc Results'!$I$125</f>
        <v>221.94712990936554</v>
      </c>
      <c r="AG54" s="22">
        <f>'[50]Arc Results'!$I$147</f>
        <v>2757.3791540785501</v>
      </c>
      <c r="AH54" s="22">
        <f>'[50]Arc Results'!$I$158</f>
        <v>2788.3270392749246</v>
      </c>
      <c r="AI54" s="22">
        <f>'[50]Arc Results'!$I$213</f>
        <v>4110.604229607251</v>
      </c>
      <c r="AJ54" s="22">
        <f>'[50]Arc Results'!$I$224</f>
        <v>4387.1148036253771</v>
      </c>
      <c r="AK54" s="22">
        <f>'[50]Arc Results'!$I$180</f>
        <v>3645.9679150342422</v>
      </c>
      <c r="AL54" s="22">
        <f>'[50]Arc Results'!$I$191</f>
        <v>3645.9679150342404</v>
      </c>
      <c r="AM54" s="22">
        <f>'[50]Arc Results'!$I$81</f>
        <v>2402.4798475590173</v>
      </c>
      <c r="AN54" s="22">
        <f>'[50]Arc Results'!$I$92</f>
        <v>2882.4950906344411</v>
      </c>
      <c r="AP54" s="9" t="e">
        <f t="shared" si="26"/>
        <v>#DIV/0!</v>
      </c>
      <c r="AQ54" s="9">
        <f t="shared" si="27"/>
        <v>1.2402004737548569</v>
      </c>
      <c r="AR54" s="9">
        <f t="shared" si="28"/>
        <v>1.0595854081555387</v>
      </c>
      <c r="AS54" s="9">
        <f t="shared" si="29"/>
        <v>1.0055805129441342</v>
      </c>
      <c r="AT54" s="9">
        <f t="shared" si="30"/>
        <v>1.0325393876800064</v>
      </c>
      <c r="AU54" s="9">
        <f t="shared" si="31"/>
        <v>0.99999999999999978</v>
      </c>
      <c r="AV54" s="9">
        <f t="shared" si="32"/>
        <v>1.0908263991199749</v>
      </c>
    </row>
    <row r="55" spans="1:48" ht="15.75">
      <c r="A55">
        <f t="shared" si="43"/>
        <v>51</v>
      </c>
      <c r="B55" s="9">
        <v>2020</v>
      </c>
      <c r="C55" s="9" t="s">
        <v>89</v>
      </c>
      <c r="D55" s="9" t="s">
        <v>88</v>
      </c>
      <c r="E55" s="7" t="s">
        <v>6</v>
      </c>
      <c r="F55" s="20" t="s">
        <v>86</v>
      </c>
      <c r="G55" s="7" t="s">
        <v>8</v>
      </c>
      <c r="H55" s="7" t="s">
        <v>9</v>
      </c>
      <c r="I55" s="9" t="s">
        <v>45</v>
      </c>
      <c r="J55" s="9">
        <v>500</v>
      </c>
      <c r="K55" s="9">
        <v>0.8</v>
      </c>
      <c r="L55" s="21">
        <f>'[51]Arc Results'!$I$10960+'[51]Arc Results'!$I$10971+'[51]Arc Results'!$I$10982+'[51]Arc Results'!$I$10993+'[51]Arc Results'!$I$11004+'[51]Arc Results'!$I$11015+'[51]Arc Results'!$I$11026+'[51]Arc Results'!$I$11037+'[51]Arc Results'!$I$11048+'[51]Arc Results'!$I$11059+'[51]Arc Results'!$I$11070+'[51]Arc Results'!$I$11081+'[51]Arc Results'!$I$11092+'[51]Arc Results'!$I$11103+'[51]Arc Results'!$I$11114+'[51]Arc Results'!$I$11125+'[51]Arc Results'!$I$11136+'[51]Arc Results'!$I$11147+'[51]Arc Results'!$I$11158+'[51]Arc Results'!$I$11169+'[51]Arc Results'!$I$11180+'[51]Arc Results'!$I$11191+'[51]Arc Results'!$I$11202+'[51]Arc Results'!$I$11213+'[51]Arc Results'!$I$11224+'[51]Arc Results'!$I$11235+'[51]Arc Results'!$I$11246+'[51]Arc Results'!$I$11257+'[51]Arc Results'!$I$11268</f>
        <v>3324.0570352421591</v>
      </c>
      <c r="M55" s="21">
        <f>'[51]Arc Results'!$I$257</f>
        <v>14223.844769725045</v>
      </c>
      <c r="N55" s="21">
        <f t="shared" si="62"/>
        <v>5564.2749244712995</v>
      </c>
      <c r="O55" s="21">
        <f t="shared" si="63"/>
        <v>8685.6211392926416</v>
      </c>
      <c r="P55" s="22">
        <f t="shared" si="64"/>
        <v>5818.619357813217</v>
      </c>
      <c r="Q55" s="22">
        <f t="shared" si="65"/>
        <v>0</v>
      </c>
      <c r="R55" s="22">
        <f t="shared" si="66"/>
        <v>433.90936555891238</v>
      </c>
      <c r="S55" s="22">
        <f t="shared" si="67"/>
        <v>227.92628398791538</v>
      </c>
      <c r="T55" s="22">
        <f t="shared" si="68"/>
        <v>7291.9358300684798</v>
      </c>
      <c r="U55" s="21"/>
      <c r="V55" s="21"/>
      <c r="W55" s="21"/>
      <c r="X55" s="23">
        <f t="shared" si="69"/>
        <v>0</v>
      </c>
      <c r="Y55" s="22"/>
      <c r="Z55" s="24">
        <f t="shared" si="70"/>
        <v>42246.131670917501</v>
      </c>
      <c r="AA55" s="22">
        <f>'[51]Arc Results'!$I$15</f>
        <v>72.326283987915403</v>
      </c>
      <c r="AB55" s="22">
        <f>'[51]Arc Results'!$I$26</f>
        <v>155.6</v>
      </c>
      <c r="AC55" s="22">
        <f>'[51]Arc Results'!$I$48</f>
        <v>0</v>
      </c>
      <c r="AD55" s="22">
        <f>'[51]Arc Results'!$I$59</f>
        <v>0</v>
      </c>
      <c r="AE55" s="22">
        <f>'[51]Arc Results'!$I$114</f>
        <v>206.96978851963746</v>
      </c>
      <c r="AF55" s="22">
        <f>'[51]Arc Results'!$I$125</f>
        <v>226.93957703927492</v>
      </c>
      <c r="AG55" s="22">
        <f>'[51]Arc Results'!$I$147</f>
        <v>2769.7583081570997</v>
      </c>
      <c r="AH55" s="22">
        <f>'[51]Arc Results'!$I$158</f>
        <v>2794.5166163141994</v>
      </c>
      <c r="AI55" s="22">
        <f>'[51]Arc Results'!$I$213</f>
        <v>4221.2084592145011</v>
      </c>
      <c r="AJ55" s="22">
        <f>'[51]Arc Results'!$I$224</f>
        <v>4464.4126800781405</v>
      </c>
      <c r="AK55" s="22">
        <f>'[51]Arc Results'!$I$180</f>
        <v>3645.9679150342399</v>
      </c>
      <c r="AL55" s="22">
        <f>'[51]Arc Results'!$I$191</f>
        <v>3645.9679150342404</v>
      </c>
      <c r="AM55" s="22">
        <f>'[51]Arc Results'!$I$81</f>
        <v>2708.7262309249995</v>
      </c>
      <c r="AN55" s="22">
        <f>'[51]Arc Results'!$I$92</f>
        <v>3109.8931268882175</v>
      </c>
      <c r="AP55" s="9">
        <f t="shared" si="26"/>
        <v>1.3653537211903992</v>
      </c>
      <c r="AQ55" s="9" t="e">
        <f t="shared" si="27"/>
        <v>#DIV/0!</v>
      </c>
      <c r="AR55" s="9">
        <f t="shared" si="28"/>
        <v>1.0460229488107837</v>
      </c>
      <c r="AS55" s="9">
        <f t="shared" si="29"/>
        <v>1.0044495120196548</v>
      </c>
      <c r="AT55" s="9">
        <f t="shared" si="30"/>
        <v>1.0280007862377758</v>
      </c>
      <c r="AU55" s="9">
        <f t="shared" si="31"/>
        <v>1.0000000000000002</v>
      </c>
      <c r="AV55" s="9">
        <f t="shared" si="32"/>
        <v>1.0689453754049976</v>
      </c>
    </row>
    <row r="56" spans="1:48" ht="15.75">
      <c r="A56">
        <f t="shared" si="43"/>
        <v>52</v>
      </c>
      <c r="B56" s="9">
        <v>2020</v>
      </c>
      <c r="C56" s="9" t="s">
        <v>89</v>
      </c>
      <c r="D56" s="9" t="s">
        <v>88</v>
      </c>
      <c r="E56" s="7" t="s">
        <v>6</v>
      </c>
      <c r="F56" s="20" t="s">
        <v>87</v>
      </c>
      <c r="G56" s="7" t="s">
        <v>8</v>
      </c>
      <c r="H56" s="7" t="s">
        <v>9</v>
      </c>
      <c r="I56" s="9" t="s">
        <v>45</v>
      </c>
      <c r="J56" s="9">
        <v>500</v>
      </c>
      <c r="K56" s="9">
        <v>0.8</v>
      </c>
      <c r="L56" s="21">
        <f>'[52]Arc Results'!$I$10960+'[52]Arc Results'!$I$10971+'[52]Arc Results'!$I$10982+'[52]Arc Results'!$I$10993+'[52]Arc Results'!$I$11004+'[52]Arc Results'!$I$11015+'[52]Arc Results'!$I$11026+'[52]Arc Results'!$I$11037+'[52]Arc Results'!$I$11048+'[52]Arc Results'!$I$11059+'[52]Arc Results'!$I$11070+'[52]Arc Results'!$I$11081+'[52]Arc Results'!$I$11092+'[52]Arc Results'!$I$11103+'[52]Arc Results'!$I$11114+'[52]Arc Results'!$I$11125+'[52]Arc Results'!$I$11136+'[52]Arc Results'!$I$11147+'[52]Arc Results'!$I$11158+'[52]Arc Results'!$I$11169+'[52]Arc Results'!$I$11180+'[52]Arc Results'!$I$11191+'[52]Arc Results'!$I$11202+'[52]Arc Results'!$I$11213+'[52]Arc Results'!$I$11224+'[52]Arc Results'!$I$11235+'[52]Arc Results'!$I$11246+'[52]Arc Results'!$I$11257+'[52]Arc Results'!$I$11268</f>
        <v>3177.1597318096087</v>
      </c>
      <c r="M56" s="21">
        <f>'[52]Arc Results'!$I$257</f>
        <v>14223.844769725045</v>
      </c>
      <c r="N56" s="21">
        <f t="shared" si="62"/>
        <v>5551.8957703927499</v>
      </c>
      <c r="O56" s="21">
        <f t="shared" si="63"/>
        <v>8553.0211480362523</v>
      </c>
      <c r="P56" s="22">
        <f t="shared" si="64"/>
        <v>5367.1509200665805</v>
      </c>
      <c r="Q56" s="22">
        <f t="shared" si="65"/>
        <v>1077.4675226586103</v>
      </c>
      <c r="R56" s="22">
        <f t="shared" si="66"/>
        <v>0</v>
      </c>
      <c r="S56" s="22">
        <f t="shared" si="67"/>
        <v>180.81570996978851</v>
      </c>
      <c r="T56" s="22">
        <f t="shared" si="68"/>
        <v>7291.9358300684817</v>
      </c>
      <c r="U56" s="21"/>
      <c r="V56" s="21"/>
      <c r="W56" s="21"/>
      <c r="X56" s="23">
        <f t="shared" si="69"/>
        <v>0</v>
      </c>
      <c r="Y56" s="22"/>
      <c r="Z56" s="24">
        <f t="shared" si="70"/>
        <v>42246.131670917508</v>
      </c>
      <c r="AA56" s="22">
        <f>'[52]Arc Results'!$I$15</f>
        <v>54.244712990936556</v>
      </c>
      <c r="AB56" s="22">
        <f>'[52]Arc Results'!$I$26</f>
        <v>126.57099697885197</v>
      </c>
      <c r="AC56" s="22">
        <f>'[52]Arc Results'!$I$48</f>
        <v>420.67296072507554</v>
      </c>
      <c r="AD56" s="22">
        <f>'[52]Arc Results'!$I$59</f>
        <v>656.79456193353474</v>
      </c>
      <c r="AE56" s="22">
        <f>'[52]Arc Results'!$I$114</f>
        <v>0</v>
      </c>
      <c r="AF56" s="22">
        <f>'[52]Arc Results'!$I$125</f>
        <v>0</v>
      </c>
      <c r="AG56" s="22">
        <f>'[52]Arc Results'!$I$147</f>
        <v>2763.5687311178249</v>
      </c>
      <c r="AH56" s="22">
        <f>'[52]Arc Results'!$I$158</f>
        <v>2788.3270392749246</v>
      </c>
      <c r="AI56" s="22">
        <f>'[52]Arc Results'!$I$213</f>
        <v>4165.906344410876</v>
      </c>
      <c r="AJ56" s="22">
        <f>'[52]Arc Results'!$I$224</f>
        <v>4387.1148036253771</v>
      </c>
      <c r="AK56" s="22">
        <f>'[52]Arc Results'!$I$180</f>
        <v>3645.9679150342417</v>
      </c>
      <c r="AL56" s="22">
        <f>'[52]Arc Results'!$I$191</f>
        <v>3645.9679150342404</v>
      </c>
      <c r="AM56" s="22">
        <f>'[52]Arc Results'!$I$81</f>
        <v>2427.6990181268884</v>
      </c>
      <c r="AN56" s="22">
        <f>'[52]Arc Results'!$I$92</f>
        <v>2939.4519019396921</v>
      </c>
      <c r="AP56" s="9">
        <f t="shared" si="26"/>
        <v>1.4000000000000001</v>
      </c>
      <c r="AQ56" s="9">
        <f t="shared" si="27"/>
        <v>1.2191449823246998</v>
      </c>
      <c r="AR56" s="9" t="e">
        <f t="shared" si="28"/>
        <v>#DIV/0!</v>
      </c>
      <c r="AS56" s="9">
        <f t="shared" si="29"/>
        <v>1.0044594331704011</v>
      </c>
      <c r="AT56" s="9">
        <f t="shared" si="30"/>
        <v>1.0258631956341286</v>
      </c>
      <c r="AU56" s="9">
        <f t="shared" si="31"/>
        <v>0.99999999999999989</v>
      </c>
      <c r="AV56" s="9">
        <f t="shared" si="32"/>
        <v>1.0953490765276366</v>
      </c>
    </row>
    <row r="83" spans="117:117">
      <c r="DM83" s="5"/>
    </row>
    <row r="84" spans="117:117">
      <c r="DM84" s="5"/>
    </row>
  </sheetData>
  <mergeCells count="4">
    <mergeCell ref="C2:D2"/>
    <mergeCell ref="F2:I2"/>
    <mergeCell ref="N2:T2"/>
    <mergeCell ref="U2:W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6"/>
  </sheetPr>
  <dimension ref="A1:DM84"/>
  <sheetViews>
    <sheetView topLeftCell="D1" zoomScale="70" zoomScaleNormal="70" workbookViewId="0">
      <selection activeCell="AD30" sqref="AD30"/>
    </sheetView>
  </sheetViews>
  <sheetFormatPr defaultRowHeight="15"/>
  <cols>
    <col min="1" max="1" width="3.44140625" bestFit="1" customWidth="1"/>
    <col min="2" max="2" width="5" bestFit="1" customWidth="1"/>
    <col min="3" max="3" width="9.21875" customWidth="1"/>
    <col min="4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9" width="8.77734375" customWidth="1"/>
    <col min="10" max="11" width="6.109375" customWidth="1"/>
    <col min="12" max="12" width="8.44140625" bestFit="1" customWidth="1"/>
    <col min="13" max="13" width="8.6640625" customWidth="1"/>
    <col min="14" max="16" width="7" customWidth="1"/>
    <col min="17" max="19" width="5.5546875" customWidth="1"/>
    <col min="20" max="20" width="7.109375" customWidth="1"/>
    <col min="21" max="23" width="7.77734375" hidden="1" customWidth="1"/>
    <col min="24" max="24" width="8.44140625" customWidth="1"/>
    <col min="25" max="25" width="5.109375" hidden="1" customWidth="1"/>
    <col min="26" max="26" width="10" customWidth="1"/>
    <col min="27" max="41" width="8.88671875" customWidth="1"/>
  </cols>
  <sheetData>
    <row r="1" spans="1:48">
      <c r="F1" t="s">
        <v>90</v>
      </c>
      <c r="L1" s="22"/>
      <c r="M1" s="18"/>
      <c r="N1" s="27">
        <f>N4/SUM($N$4:$T$4)</f>
        <v>0.20080606922712185</v>
      </c>
      <c r="O1" s="27">
        <f t="shared" ref="O1:T1" si="0">O4/SUM($N$4:$T$4)</f>
        <v>0.28425794215267902</v>
      </c>
      <c r="P1" s="27">
        <f t="shared" si="0"/>
        <v>0.24270981507823614</v>
      </c>
      <c r="Q1" s="27">
        <f t="shared" si="0"/>
        <v>6.1996206733048835E-2</v>
      </c>
      <c r="R1" s="27">
        <f t="shared" si="0"/>
        <v>1.5232337600758653E-2</v>
      </c>
      <c r="S1" s="27">
        <f t="shared" si="0"/>
        <v>1.5647226173541962E-2</v>
      </c>
      <c r="T1" s="27">
        <f t="shared" si="0"/>
        <v>0.17935040303461355</v>
      </c>
    </row>
    <row r="2" spans="1:48" ht="15.75">
      <c r="C2" s="47" t="s">
        <v>28</v>
      </c>
      <c r="D2" s="47"/>
      <c r="F2" s="47" t="s">
        <v>23</v>
      </c>
      <c r="G2" s="47"/>
      <c r="H2" s="47"/>
      <c r="I2" s="47"/>
      <c r="J2" s="16"/>
      <c r="K2" s="16"/>
      <c r="L2" s="22"/>
      <c r="N2" s="47"/>
      <c r="O2" s="47"/>
      <c r="P2" s="47"/>
      <c r="Q2" s="47"/>
      <c r="R2" s="47"/>
      <c r="S2" s="47"/>
      <c r="T2" s="47"/>
      <c r="U2" s="47" t="s">
        <v>19</v>
      </c>
      <c r="V2" s="47"/>
      <c r="W2" s="47"/>
    </row>
    <row r="3" spans="1:48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J3" s="1" t="s">
        <v>14</v>
      </c>
      <c r="L3" s="1" t="s">
        <v>2</v>
      </c>
      <c r="M3" s="1" t="s">
        <v>3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20</v>
      </c>
      <c r="V3" s="1" t="s">
        <v>21</v>
      </c>
      <c r="W3" s="1" t="s">
        <v>22</v>
      </c>
      <c r="X3" s="1" t="s">
        <v>46</v>
      </c>
      <c r="AP3" s="1" t="s">
        <v>61</v>
      </c>
    </row>
    <row r="4" spans="1:48" s="1" customFormat="1" ht="15.75">
      <c r="K4" s="1" t="s">
        <v>64</v>
      </c>
      <c r="L4" s="1">
        <v>5082</v>
      </c>
      <c r="M4" s="1">
        <v>16515</v>
      </c>
      <c r="N4" s="1">
        <v>6776</v>
      </c>
      <c r="O4" s="1">
        <v>9592</v>
      </c>
      <c r="P4" s="1">
        <v>8190</v>
      </c>
      <c r="Q4" s="1">
        <v>2092</v>
      </c>
      <c r="R4" s="1">
        <v>514</v>
      </c>
      <c r="S4" s="1">
        <v>528</v>
      </c>
      <c r="T4" s="1">
        <v>6052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62</v>
      </c>
      <c r="AL4" s="1" t="s">
        <v>63</v>
      </c>
      <c r="AM4" s="1" t="s">
        <v>66</v>
      </c>
      <c r="AN4" s="1" t="s">
        <v>67</v>
      </c>
      <c r="AP4" s="1" t="s">
        <v>17</v>
      </c>
      <c r="AQ4" s="1" t="s">
        <v>15</v>
      </c>
      <c r="AR4" s="1" t="s">
        <v>16</v>
      </c>
      <c r="AS4" s="1" t="s">
        <v>12</v>
      </c>
      <c r="AT4" s="1" t="s">
        <v>13</v>
      </c>
      <c r="AU4" s="1" t="s">
        <v>18</v>
      </c>
      <c r="AV4" s="1" t="s">
        <v>14</v>
      </c>
    </row>
    <row r="5" spans="1:48" ht="15.75">
      <c r="A5" s="5">
        <v>53</v>
      </c>
      <c r="B5" s="9">
        <v>2020</v>
      </c>
      <c r="C5" s="9" t="s">
        <v>4</v>
      </c>
      <c r="D5" s="9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9" t="s">
        <v>45</v>
      </c>
      <c r="J5" s="9">
        <v>500</v>
      </c>
      <c r="K5" s="9">
        <v>0.8</v>
      </c>
      <c r="L5" s="28">
        <f>'[53]Arc Results'!$I$10960+'[53]Arc Results'!$I$10971+'[53]Arc Results'!$I$10982+'[53]Arc Results'!$I$10993+'[53]Arc Results'!$I$11004+'[53]Arc Results'!$I$11015+'[53]Arc Results'!$I$11026+'[53]Arc Results'!$I$11037+'[53]Arc Results'!$I$11048+'[53]Arc Results'!$I$11059+'[53]Arc Results'!$I$11070+'[53]Arc Results'!$I$11081+'[53]Arc Results'!$I$11092+'[53]Arc Results'!$I$11103+'[53]Arc Results'!$I$11114+'[53]Arc Results'!$I$11125+'[53]Arc Results'!$I$11136+'[53]Arc Results'!$I$11147+'[53]Arc Results'!$I$11158+'[53]Arc Results'!$I$11169+'[53]Arc Results'!$I$11180+'[53]Arc Results'!$I$11191+'[53]Arc Results'!$I$11202+'[53]Arc Results'!$I$11213+'[53]Arc Results'!$I$11224+'[53]Arc Results'!$I$11235+'[53]Arc Results'!$I$11246+'[53]Arc Results'!$I$11257+'[53]Arc Results'!$I$11268</f>
        <v>3695.0528058687291</v>
      </c>
      <c r="M5" s="28">
        <f>'[53]Arc Results'!$I$257</f>
        <v>6165.6596571428636</v>
      </c>
      <c r="N5" s="28">
        <f t="shared" ref="N5" si="1">SUM(AG5:AH5)</f>
        <v>5703.5762548262555</v>
      </c>
      <c r="O5" s="28">
        <f t="shared" ref="O5" si="2">SUM(AI5:AJ5)</f>
        <v>9908.2432432432433</v>
      </c>
      <c r="P5" s="28">
        <f t="shared" ref="P5" si="3">SUM(AM5:AN5)</f>
        <v>7992.5072681081056</v>
      </c>
      <c r="Q5" s="28">
        <f t="shared" ref="Q5" si="4">SUM(AC5:AD5)</f>
        <v>2247.864864864865</v>
      </c>
      <c r="R5" s="28">
        <f t="shared" ref="R5" si="5">SUM(AE5:AF5)</f>
        <v>546.26833976833973</v>
      </c>
      <c r="S5" s="22">
        <f t="shared" ref="S5" si="6">SUM(AA5:AB5)</f>
        <v>518.18918918918916</v>
      </c>
      <c r="T5" s="22">
        <f t="shared" ref="T5" si="7">SUM(AK5:AL5)</f>
        <v>6130</v>
      </c>
      <c r="U5" s="21"/>
      <c r="V5" s="21"/>
      <c r="W5" s="21"/>
      <c r="X5" s="23">
        <f t="shared" ref="X5" si="8">SUM(U5:W5)</f>
        <v>0</v>
      </c>
      <c r="Y5" s="22"/>
      <c r="Z5" s="24">
        <f t="shared" ref="Z5" si="9">M5+N5+O5+P5+Q5+R5+S5+T5</f>
        <v>39212.308817142868</v>
      </c>
      <c r="AA5" s="22">
        <f>'[1]Arc Results'!$I$15</f>
        <v>254.18918918918914</v>
      </c>
      <c r="AB5" s="22">
        <f>'[1]Arc Results'!$I$26</f>
        <v>264</v>
      </c>
      <c r="AC5" s="22">
        <f>'[1]Arc Results'!$I$48</f>
        <v>1003.2277992277992</v>
      </c>
      <c r="AD5" s="22">
        <f>'[1]Arc Results'!$I$59</f>
        <v>1244.6370656370657</v>
      </c>
      <c r="AE5" s="22">
        <f>'[1]Arc Results'!$I$114</f>
        <v>257.18339768339769</v>
      </c>
      <c r="AF5" s="22">
        <f>'[1]Arc Results'!$I$125</f>
        <v>289.0849420849421</v>
      </c>
      <c r="AG5" s="22">
        <f>'[1]Arc Results'!$I$147</f>
        <v>2832.0125482625485</v>
      </c>
      <c r="AH5" s="22">
        <f>'[1]Arc Results'!$I$158</f>
        <v>2871.5637065637065</v>
      </c>
      <c r="AI5" s="22">
        <f>'[1]Arc Results'!$I$213</f>
        <v>4777.4324324324325</v>
      </c>
      <c r="AJ5" s="22">
        <f>'[1]Arc Results'!$I$224</f>
        <v>5130.8108108108108</v>
      </c>
      <c r="AK5" s="22">
        <f>'[1]Arc Results'!$I$180</f>
        <v>3063</v>
      </c>
      <c r="AL5" s="22">
        <f>'[1]Arc Results'!$I$191</f>
        <v>3067</v>
      </c>
      <c r="AM5" s="22">
        <f>'[1]Arc Results'!$I$81</f>
        <v>3644.2167275675656</v>
      </c>
      <c r="AN5" s="22">
        <f>'[1]Arc Results'!$I$92</f>
        <v>4348.29054054054</v>
      </c>
      <c r="AP5" s="9">
        <f t="shared" ref="AP5:AP56" si="10">2*AB5/SUM(AA5:AB5)</f>
        <v>1.0189328743545611</v>
      </c>
      <c r="AQ5" s="9">
        <f t="shared" ref="AQ5:AQ56" si="11">2*AD5/SUM(AC5:AD5)</f>
        <v>1.1073949195890738</v>
      </c>
      <c r="AR5" s="9">
        <f t="shared" ref="AR5:AR56" si="12">2*AF5/SUM(AE5:AF5)</f>
        <v>1.0583990359299849</v>
      </c>
      <c r="AS5" s="9">
        <f t="shared" ref="AS5:AS56" si="13">2*AH5/SUM(AG5:AH5)</f>
        <v>1.0069344489376626</v>
      </c>
      <c r="AT5" s="9">
        <f t="shared" ref="AT5:AT56" si="14">2*AJ5/SUM(AI5:AJ5)</f>
        <v>1.0356650891286261</v>
      </c>
      <c r="AU5" s="9">
        <f t="shared" ref="AU5:AU56" si="15">2*AL5/SUM(AK5:AL5)</f>
        <v>1.000652528548124</v>
      </c>
      <c r="AV5" s="9">
        <f t="shared" ref="AV5:AV56" si="16">2*AN5/SUM(AM5:AN5)</f>
        <v>1.0880917325883939</v>
      </c>
    </row>
    <row r="6" spans="1:48" ht="15.75">
      <c r="A6">
        <f>A5+1</f>
        <v>54</v>
      </c>
      <c r="B6" s="9">
        <v>2020</v>
      </c>
      <c r="C6" s="9" t="s">
        <v>4</v>
      </c>
      <c r="D6" s="9" t="s">
        <v>5</v>
      </c>
      <c r="E6" s="7" t="s">
        <v>6</v>
      </c>
      <c r="F6" s="7" t="s">
        <v>76</v>
      </c>
      <c r="G6" s="7" t="s">
        <v>8</v>
      </c>
      <c r="H6" s="7" t="s">
        <v>9</v>
      </c>
      <c r="I6" s="9" t="s">
        <v>45</v>
      </c>
      <c r="J6" s="9">
        <v>500</v>
      </c>
      <c r="K6" s="9">
        <v>0.8</v>
      </c>
      <c r="L6" s="28"/>
      <c r="M6" s="28"/>
      <c r="N6" s="28"/>
      <c r="O6" s="28"/>
      <c r="P6" s="28"/>
      <c r="Q6" s="28"/>
      <c r="R6" s="28"/>
      <c r="S6" s="22"/>
      <c r="T6" s="22"/>
      <c r="U6" s="21"/>
      <c r="V6" s="21"/>
      <c r="W6" s="21"/>
      <c r="X6" s="23"/>
      <c r="Y6" s="22"/>
      <c r="Z6" s="24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P6" s="9" t="e">
        <f t="shared" si="10"/>
        <v>#DIV/0!</v>
      </c>
      <c r="AQ6" s="9" t="e">
        <f t="shared" si="11"/>
        <v>#DIV/0!</v>
      </c>
      <c r="AR6" s="9" t="e">
        <f t="shared" si="12"/>
        <v>#DIV/0!</v>
      </c>
      <c r="AS6" s="9" t="e">
        <f t="shared" si="13"/>
        <v>#DIV/0!</v>
      </c>
      <c r="AT6" s="9" t="e">
        <f t="shared" si="14"/>
        <v>#DIV/0!</v>
      </c>
      <c r="AU6" s="9" t="e">
        <f t="shared" si="15"/>
        <v>#DIV/0!</v>
      </c>
      <c r="AV6" s="9" t="e">
        <f t="shared" si="16"/>
        <v>#DIV/0!</v>
      </c>
    </row>
    <row r="7" spans="1:48" ht="15.75">
      <c r="A7">
        <f t="shared" ref="A7:A56" si="17">A6+1</f>
        <v>55</v>
      </c>
      <c r="B7" s="9">
        <v>2020</v>
      </c>
      <c r="C7" s="9" t="s">
        <v>4</v>
      </c>
      <c r="D7" s="9" t="s">
        <v>5</v>
      </c>
      <c r="E7" s="7" t="s">
        <v>6</v>
      </c>
      <c r="F7" s="7" t="s">
        <v>77</v>
      </c>
      <c r="G7" s="7" t="s">
        <v>8</v>
      </c>
      <c r="H7" s="7" t="s">
        <v>9</v>
      </c>
      <c r="I7" s="9" t="s">
        <v>45</v>
      </c>
      <c r="J7" s="9">
        <v>500</v>
      </c>
      <c r="K7" s="9">
        <v>0.8</v>
      </c>
      <c r="L7" s="28"/>
      <c r="M7" s="28"/>
      <c r="N7" s="28"/>
      <c r="O7" s="28"/>
      <c r="P7" s="28"/>
      <c r="Q7" s="28"/>
      <c r="R7" s="28"/>
      <c r="S7" s="22"/>
      <c r="T7" s="22"/>
      <c r="U7" s="21"/>
      <c r="V7" s="21"/>
      <c r="W7" s="21"/>
      <c r="X7" s="23"/>
      <c r="Y7" s="22"/>
      <c r="Z7" s="24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P7" s="9" t="e">
        <f t="shared" si="10"/>
        <v>#DIV/0!</v>
      </c>
      <c r="AQ7" s="9" t="e">
        <f t="shared" si="11"/>
        <v>#DIV/0!</v>
      </c>
      <c r="AR7" s="9" t="e">
        <f t="shared" si="12"/>
        <v>#DIV/0!</v>
      </c>
      <c r="AS7" s="9" t="e">
        <f t="shared" si="13"/>
        <v>#DIV/0!</v>
      </c>
      <c r="AT7" s="9" t="e">
        <f t="shared" si="14"/>
        <v>#DIV/0!</v>
      </c>
      <c r="AU7" s="9" t="e">
        <f t="shared" si="15"/>
        <v>#DIV/0!</v>
      </c>
      <c r="AV7" s="9" t="e">
        <f t="shared" si="16"/>
        <v>#DIV/0!</v>
      </c>
    </row>
    <row r="8" spans="1:48" ht="15.75">
      <c r="A8">
        <f t="shared" si="17"/>
        <v>56</v>
      </c>
      <c r="B8" s="9">
        <v>2020</v>
      </c>
      <c r="C8" s="9" t="s">
        <v>4</v>
      </c>
      <c r="D8" s="9" t="s">
        <v>5</v>
      </c>
      <c r="E8" s="7" t="s">
        <v>6</v>
      </c>
      <c r="F8" s="7" t="s">
        <v>78</v>
      </c>
      <c r="G8" s="7" t="s">
        <v>8</v>
      </c>
      <c r="H8" s="7" t="s">
        <v>9</v>
      </c>
      <c r="I8" s="9" t="s">
        <v>45</v>
      </c>
      <c r="J8" s="9">
        <v>500</v>
      </c>
      <c r="K8" s="9">
        <v>0.8</v>
      </c>
      <c r="L8" s="28"/>
      <c r="M8" s="28"/>
      <c r="N8" s="28"/>
      <c r="O8" s="28"/>
      <c r="P8" s="28"/>
      <c r="Q8" s="28"/>
      <c r="R8" s="28"/>
      <c r="S8" s="22"/>
      <c r="T8" s="22"/>
      <c r="U8" s="21"/>
      <c r="V8" s="21"/>
      <c r="W8" s="21"/>
      <c r="X8" s="23"/>
      <c r="Y8" s="22"/>
      <c r="Z8" s="24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P8" s="9" t="e">
        <f t="shared" si="10"/>
        <v>#DIV/0!</v>
      </c>
      <c r="AQ8" s="9" t="e">
        <f t="shared" si="11"/>
        <v>#DIV/0!</v>
      </c>
      <c r="AR8" s="9" t="e">
        <f t="shared" si="12"/>
        <v>#DIV/0!</v>
      </c>
      <c r="AS8" s="9" t="e">
        <f t="shared" si="13"/>
        <v>#DIV/0!</v>
      </c>
      <c r="AT8" s="9" t="e">
        <f t="shared" si="14"/>
        <v>#DIV/0!</v>
      </c>
      <c r="AU8" s="9" t="e">
        <f t="shared" si="15"/>
        <v>#DIV/0!</v>
      </c>
      <c r="AV8" s="9" t="e">
        <f t="shared" si="16"/>
        <v>#DIV/0!</v>
      </c>
    </row>
    <row r="9" spans="1:48" ht="15.75">
      <c r="A9">
        <f t="shared" si="17"/>
        <v>57</v>
      </c>
      <c r="B9" s="9">
        <v>2020</v>
      </c>
      <c r="C9" s="9" t="s">
        <v>4</v>
      </c>
      <c r="D9" s="9" t="s">
        <v>5</v>
      </c>
      <c r="E9" s="7" t="s">
        <v>6</v>
      </c>
      <c r="F9" s="7" t="s">
        <v>79</v>
      </c>
      <c r="G9" s="7" t="s">
        <v>8</v>
      </c>
      <c r="H9" s="7" t="s">
        <v>9</v>
      </c>
      <c r="I9" s="9" t="s">
        <v>45</v>
      </c>
      <c r="J9" s="9">
        <v>500</v>
      </c>
      <c r="K9" s="9">
        <v>0.8</v>
      </c>
      <c r="L9" s="28"/>
      <c r="M9" s="28"/>
      <c r="N9" s="28"/>
      <c r="O9" s="28"/>
      <c r="P9" s="28"/>
      <c r="Q9" s="28"/>
      <c r="R9" s="28"/>
      <c r="S9" s="22"/>
      <c r="T9" s="22"/>
      <c r="U9" s="21"/>
      <c r="V9" s="21"/>
      <c r="W9" s="21"/>
      <c r="X9" s="23"/>
      <c r="Y9" s="22"/>
      <c r="Z9" s="24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P9" s="9" t="e">
        <f t="shared" si="10"/>
        <v>#DIV/0!</v>
      </c>
      <c r="AQ9" s="9" t="e">
        <f t="shared" si="11"/>
        <v>#DIV/0!</v>
      </c>
      <c r="AR9" s="9" t="e">
        <f t="shared" si="12"/>
        <v>#DIV/0!</v>
      </c>
      <c r="AS9" s="9" t="e">
        <f t="shared" si="13"/>
        <v>#DIV/0!</v>
      </c>
      <c r="AT9" s="9" t="e">
        <f t="shared" si="14"/>
        <v>#DIV/0!</v>
      </c>
      <c r="AU9" s="9" t="e">
        <f t="shared" si="15"/>
        <v>#DIV/0!</v>
      </c>
      <c r="AV9" s="9" t="e">
        <f t="shared" si="16"/>
        <v>#DIV/0!</v>
      </c>
    </row>
    <row r="10" spans="1:48" ht="15.75">
      <c r="A10">
        <f t="shared" si="17"/>
        <v>58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80</v>
      </c>
      <c r="G10" s="7" t="s">
        <v>8</v>
      </c>
      <c r="H10" s="7" t="s">
        <v>9</v>
      </c>
      <c r="I10" s="9" t="s">
        <v>45</v>
      </c>
      <c r="J10" s="9">
        <v>500</v>
      </c>
      <c r="K10" s="9">
        <v>0.8</v>
      </c>
      <c r="L10" s="28"/>
      <c r="M10" s="28"/>
      <c r="N10" s="28"/>
      <c r="O10" s="28"/>
      <c r="P10" s="28"/>
      <c r="Q10" s="28"/>
      <c r="R10" s="28"/>
      <c r="S10" s="22"/>
      <c r="T10" s="22"/>
      <c r="U10" s="21"/>
      <c r="V10" s="21"/>
      <c r="W10" s="21"/>
      <c r="X10" s="23"/>
      <c r="Y10" s="22"/>
      <c r="Z10" s="24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P10" s="9" t="e">
        <f t="shared" si="10"/>
        <v>#DIV/0!</v>
      </c>
      <c r="AQ10" s="9" t="e">
        <f t="shared" si="11"/>
        <v>#DIV/0!</v>
      </c>
      <c r="AR10" s="9" t="e">
        <f t="shared" si="12"/>
        <v>#DIV/0!</v>
      </c>
      <c r="AS10" s="9" t="e">
        <f t="shared" si="13"/>
        <v>#DIV/0!</v>
      </c>
      <c r="AT10" s="9" t="e">
        <f t="shared" si="14"/>
        <v>#DIV/0!</v>
      </c>
      <c r="AU10" s="9" t="e">
        <f t="shared" si="15"/>
        <v>#DIV/0!</v>
      </c>
      <c r="AV10" s="9" t="e">
        <f t="shared" si="16"/>
        <v>#DIV/0!</v>
      </c>
    </row>
    <row r="11" spans="1:48" ht="15.75">
      <c r="A11">
        <f t="shared" si="17"/>
        <v>59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81</v>
      </c>
      <c r="G11" s="7" t="s">
        <v>8</v>
      </c>
      <c r="H11" s="7" t="s">
        <v>9</v>
      </c>
      <c r="I11" s="9" t="s">
        <v>45</v>
      </c>
      <c r="J11" s="9">
        <v>500</v>
      </c>
      <c r="K11" s="9">
        <v>0.8</v>
      </c>
      <c r="L11" s="28"/>
      <c r="M11" s="28"/>
      <c r="N11" s="28"/>
      <c r="O11" s="28"/>
      <c r="P11" s="28"/>
      <c r="Q11" s="28"/>
      <c r="R11" s="28"/>
      <c r="S11" s="22"/>
      <c r="T11" s="22"/>
      <c r="U11" s="21"/>
      <c r="V11" s="21"/>
      <c r="W11" s="21"/>
      <c r="X11" s="23"/>
      <c r="Y11" s="22"/>
      <c r="Z11" s="24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P11" s="9" t="e">
        <f t="shared" si="10"/>
        <v>#DIV/0!</v>
      </c>
      <c r="AQ11" s="9" t="e">
        <f t="shared" si="11"/>
        <v>#DIV/0!</v>
      </c>
      <c r="AR11" s="9" t="e">
        <f t="shared" si="12"/>
        <v>#DIV/0!</v>
      </c>
      <c r="AS11" s="9" t="e">
        <f t="shared" si="13"/>
        <v>#DIV/0!</v>
      </c>
      <c r="AT11" s="9" t="e">
        <f t="shared" si="14"/>
        <v>#DIV/0!</v>
      </c>
      <c r="AU11" s="9" t="e">
        <f t="shared" si="15"/>
        <v>#DIV/0!</v>
      </c>
      <c r="AV11" s="9" t="e">
        <f t="shared" si="16"/>
        <v>#DIV/0!</v>
      </c>
    </row>
    <row r="12" spans="1:48" ht="15.75">
      <c r="A12">
        <f t="shared" si="17"/>
        <v>60</v>
      </c>
      <c r="B12" s="9">
        <v>2020</v>
      </c>
      <c r="C12" s="9" t="s">
        <v>4</v>
      </c>
      <c r="D12" s="9" t="s">
        <v>5</v>
      </c>
      <c r="E12" s="7" t="s">
        <v>6</v>
      </c>
      <c r="F12" s="20" t="s">
        <v>82</v>
      </c>
      <c r="G12" s="7" t="s">
        <v>8</v>
      </c>
      <c r="H12" s="7" t="s">
        <v>9</v>
      </c>
      <c r="I12" s="9" t="s">
        <v>45</v>
      </c>
      <c r="J12" s="9">
        <v>500</v>
      </c>
      <c r="K12" s="9">
        <v>0.8</v>
      </c>
      <c r="L12" s="28"/>
      <c r="M12" s="28"/>
      <c r="N12" s="28"/>
      <c r="O12" s="28"/>
      <c r="P12" s="28"/>
      <c r="Q12" s="28"/>
      <c r="R12" s="28"/>
      <c r="S12" s="22"/>
      <c r="T12" s="22"/>
      <c r="U12" s="21"/>
      <c r="V12" s="21"/>
      <c r="W12" s="21"/>
      <c r="X12" s="23"/>
      <c r="Y12" s="22"/>
      <c r="Z12" s="24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P12" s="9" t="e">
        <f t="shared" si="10"/>
        <v>#DIV/0!</v>
      </c>
      <c r="AQ12" s="9" t="e">
        <f t="shared" si="11"/>
        <v>#DIV/0!</v>
      </c>
      <c r="AR12" s="9" t="e">
        <f t="shared" si="12"/>
        <v>#DIV/0!</v>
      </c>
      <c r="AS12" s="9" t="e">
        <f t="shared" si="13"/>
        <v>#DIV/0!</v>
      </c>
      <c r="AT12" s="9" t="e">
        <f t="shared" si="14"/>
        <v>#DIV/0!</v>
      </c>
      <c r="AU12" s="9" t="e">
        <f t="shared" si="15"/>
        <v>#DIV/0!</v>
      </c>
      <c r="AV12" s="9" t="e">
        <f t="shared" si="16"/>
        <v>#DIV/0!</v>
      </c>
    </row>
    <row r="13" spans="1:48" ht="15.75">
      <c r="A13">
        <f t="shared" si="17"/>
        <v>61</v>
      </c>
      <c r="B13" s="9">
        <v>2020</v>
      </c>
      <c r="C13" s="9" t="s">
        <v>4</v>
      </c>
      <c r="D13" s="9" t="s">
        <v>5</v>
      </c>
      <c r="E13" s="7" t="s">
        <v>6</v>
      </c>
      <c r="F13" s="20" t="s">
        <v>83</v>
      </c>
      <c r="G13" s="7" t="s">
        <v>8</v>
      </c>
      <c r="H13" s="7" t="s">
        <v>9</v>
      </c>
      <c r="I13" s="9" t="s">
        <v>45</v>
      </c>
      <c r="J13" s="9">
        <v>500</v>
      </c>
      <c r="K13" s="9">
        <v>0.8</v>
      </c>
      <c r="L13" s="28"/>
      <c r="M13" s="28"/>
      <c r="N13" s="28"/>
      <c r="O13" s="28"/>
      <c r="P13" s="28"/>
      <c r="Q13" s="28"/>
      <c r="R13" s="28"/>
      <c r="S13" s="22"/>
      <c r="T13" s="22"/>
      <c r="U13" s="21"/>
      <c r="V13" s="21"/>
      <c r="W13" s="21"/>
      <c r="X13" s="23"/>
      <c r="Y13" s="22"/>
      <c r="Z13" s="24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P13" s="9" t="e">
        <f t="shared" si="10"/>
        <v>#DIV/0!</v>
      </c>
      <c r="AQ13" s="9" t="e">
        <f t="shared" si="11"/>
        <v>#DIV/0!</v>
      </c>
      <c r="AR13" s="9" t="e">
        <f t="shared" si="12"/>
        <v>#DIV/0!</v>
      </c>
      <c r="AS13" s="9" t="e">
        <f t="shared" si="13"/>
        <v>#DIV/0!</v>
      </c>
      <c r="AT13" s="9" t="e">
        <f t="shared" si="14"/>
        <v>#DIV/0!</v>
      </c>
      <c r="AU13" s="9" t="e">
        <f t="shared" si="15"/>
        <v>#DIV/0!</v>
      </c>
      <c r="AV13" s="9" t="e">
        <f t="shared" si="16"/>
        <v>#DIV/0!</v>
      </c>
    </row>
    <row r="14" spans="1:48" ht="15.75">
      <c r="A14">
        <f t="shared" si="17"/>
        <v>62</v>
      </c>
      <c r="B14" s="9">
        <v>2020</v>
      </c>
      <c r="C14" s="9" t="s">
        <v>4</v>
      </c>
      <c r="D14" s="9" t="s">
        <v>5</v>
      </c>
      <c r="E14" s="7" t="s">
        <v>6</v>
      </c>
      <c r="F14" s="20" t="s">
        <v>84</v>
      </c>
      <c r="G14" s="7" t="s">
        <v>8</v>
      </c>
      <c r="H14" s="7" t="s">
        <v>9</v>
      </c>
      <c r="I14" s="9" t="s">
        <v>45</v>
      </c>
      <c r="J14" s="9">
        <v>500</v>
      </c>
      <c r="K14" s="9">
        <v>0.8</v>
      </c>
      <c r="L14" s="28"/>
      <c r="M14" s="28"/>
      <c r="N14" s="28"/>
      <c r="O14" s="28"/>
      <c r="P14" s="28"/>
      <c r="Q14" s="28"/>
      <c r="R14" s="28"/>
      <c r="S14" s="22"/>
      <c r="T14" s="22"/>
      <c r="U14" s="21"/>
      <c r="V14" s="21"/>
      <c r="W14" s="21"/>
      <c r="X14" s="23"/>
      <c r="Y14" s="22"/>
      <c r="Z14" s="24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P14" s="9" t="e">
        <f t="shared" si="10"/>
        <v>#DIV/0!</v>
      </c>
      <c r="AQ14" s="9" t="e">
        <f t="shared" si="11"/>
        <v>#DIV/0!</v>
      </c>
      <c r="AR14" s="9" t="e">
        <f t="shared" si="12"/>
        <v>#DIV/0!</v>
      </c>
      <c r="AS14" s="9" t="e">
        <f t="shared" si="13"/>
        <v>#DIV/0!</v>
      </c>
      <c r="AT14" s="9" t="e">
        <f t="shared" si="14"/>
        <v>#DIV/0!</v>
      </c>
      <c r="AU14" s="9" t="e">
        <f t="shared" si="15"/>
        <v>#DIV/0!</v>
      </c>
      <c r="AV14" s="9" t="e">
        <f t="shared" si="16"/>
        <v>#DIV/0!</v>
      </c>
    </row>
    <row r="15" spans="1:48" ht="15.75">
      <c r="A15">
        <f t="shared" si="17"/>
        <v>63</v>
      </c>
      <c r="B15" s="9">
        <v>2020</v>
      </c>
      <c r="C15" s="9" t="s">
        <v>4</v>
      </c>
      <c r="D15" s="9" t="s">
        <v>5</v>
      </c>
      <c r="E15" s="7" t="s">
        <v>6</v>
      </c>
      <c r="F15" s="20" t="s">
        <v>85</v>
      </c>
      <c r="G15" s="7" t="s">
        <v>8</v>
      </c>
      <c r="H15" s="7" t="s">
        <v>9</v>
      </c>
      <c r="I15" s="9" t="s">
        <v>45</v>
      </c>
      <c r="J15" s="9">
        <v>500</v>
      </c>
      <c r="K15" s="9">
        <v>0.8</v>
      </c>
      <c r="L15" s="28"/>
      <c r="M15" s="28"/>
      <c r="N15" s="28"/>
      <c r="O15" s="28"/>
      <c r="P15" s="28"/>
      <c r="Q15" s="28"/>
      <c r="R15" s="28"/>
      <c r="S15" s="22"/>
      <c r="T15" s="22"/>
      <c r="U15" s="21"/>
      <c r="V15" s="21"/>
      <c r="W15" s="21"/>
      <c r="X15" s="23"/>
      <c r="Y15" s="22"/>
      <c r="Z15" s="24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P15" s="9" t="e">
        <f t="shared" si="10"/>
        <v>#DIV/0!</v>
      </c>
      <c r="AQ15" s="9" t="e">
        <f t="shared" si="11"/>
        <v>#DIV/0!</v>
      </c>
      <c r="AR15" s="9" t="e">
        <f t="shared" si="12"/>
        <v>#DIV/0!</v>
      </c>
      <c r="AS15" s="9" t="e">
        <f t="shared" si="13"/>
        <v>#DIV/0!</v>
      </c>
      <c r="AT15" s="9" t="e">
        <f t="shared" si="14"/>
        <v>#DIV/0!</v>
      </c>
      <c r="AU15" s="9" t="e">
        <f t="shared" si="15"/>
        <v>#DIV/0!</v>
      </c>
      <c r="AV15" s="9" t="e">
        <f t="shared" si="16"/>
        <v>#DIV/0!</v>
      </c>
    </row>
    <row r="16" spans="1:48" ht="15.75">
      <c r="A16">
        <f t="shared" si="17"/>
        <v>64</v>
      </c>
      <c r="B16" s="9">
        <v>2020</v>
      </c>
      <c r="C16" s="9" t="s">
        <v>4</v>
      </c>
      <c r="D16" s="9" t="s">
        <v>5</v>
      </c>
      <c r="E16" s="7" t="s">
        <v>6</v>
      </c>
      <c r="F16" s="20" t="s">
        <v>86</v>
      </c>
      <c r="G16" s="7" t="s">
        <v>8</v>
      </c>
      <c r="H16" s="7" t="s">
        <v>9</v>
      </c>
      <c r="I16" s="9" t="s">
        <v>45</v>
      </c>
      <c r="J16" s="9">
        <v>500</v>
      </c>
      <c r="K16" s="9">
        <v>0.8</v>
      </c>
      <c r="L16" s="28"/>
      <c r="M16" s="28"/>
      <c r="N16" s="28"/>
      <c r="O16" s="28"/>
      <c r="P16" s="28"/>
      <c r="Q16" s="28"/>
      <c r="R16" s="28"/>
      <c r="S16" s="22"/>
      <c r="T16" s="22"/>
      <c r="U16" s="21"/>
      <c r="V16" s="21"/>
      <c r="W16" s="21"/>
      <c r="X16" s="23"/>
      <c r="Y16" s="22"/>
      <c r="Z16" s="24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P16" s="9" t="e">
        <f t="shared" si="10"/>
        <v>#DIV/0!</v>
      </c>
      <c r="AQ16" s="9" t="e">
        <f t="shared" si="11"/>
        <v>#DIV/0!</v>
      </c>
      <c r="AR16" s="9" t="e">
        <f t="shared" si="12"/>
        <v>#DIV/0!</v>
      </c>
      <c r="AS16" s="9" t="e">
        <f t="shared" si="13"/>
        <v>#DIV/0!</v>
      </c>
      <c r="AT16" s="9" t="e">
        <f t="shared" si="14"/>
        <v>#DIV/0!</v>
      </c>
      <c r="AU16" s="9" t="e">
        <f t="shared" si="15"/>
        <v>#DIV/0!</v>
      </c>
      <c r="AV16" s="9" t="e">
        <f t="shared" si="16"/>
        <v>#DIV/0!</v>
      </c>
    </row>
    <row r="17" spans="1:48" ht="15.75">
      <c r="A17">
        <f t="shared" si="17"/>
        <v>65</v>
      </c>
      <c r="B17" s="9">
        <v>2020</v>
      </c>
      <c r="C17" s="9" t="s">
        <v>4</v>
      </c>
      <c r="D17" s="9" t="s">
        <v>5</v>
      </c>
      <c r="E17" s="7" t="s">
        <v>6</v>
      </c>
      <c r="F17" s="20" t="s">
        <v>87</v>
      </c>
      <c r="G17" s="7" t="s">
        <v>8</v>
      </c>
      <c r="H17" s="7" t="s">
        <v>9</v>
      </c>
      <c r="I17" s="9" t="s">
        <v>45</v>
      </c>
      <c r="J17" s="9">
        <v>500</v>
      </c>
      <c r="K17" s="9">
        <v>0.8</v>
      </c>
      <c r="L17" s="28"/>
      <c r="M17" s="28"/>
      <c r="N17" s="28"/>
      <c r="O17" s="28"/>
      <c r="P17" s="28"/>
      <c r="Q17" s="28"/>
      <c r="R17" s="28"/>
      <c r="S17" s="22"/>
      <c r="T17" s="22"/>
      <c r="U17" s="21"/>
      <c r="V17" s="21"/>
      <c r="W17" s="21"/>
      <c r="X17" s="23"/>
      <c r="Y17" s="22"/>
      <c r="Z17" s="24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P17" s="9" t="e">
        <f t="shared" si="10"/>
        <v>#DIV/0!</v>
      </c>
      <c r="AQ17" s="9" t="e">
        <f t="shared" si="11"/>
        <v>#DIV/0!</v>
      </c>
      <c r="AR17" s="9" t="e">
        <f t="shared" si="12"/>
        <v>#DIV/0!</v>
      </c>
      <c r="AS17" s="9" t="e">
        <f t="shared" si="13"/>
        <v>#DIV/0!</v>
      </c>
      <c r="AT17" s="9" t="e">
        <f t="shared" si="14"/>
        <v>#DIV/0!</v>
      </c>
      <c r="AU17" s="9" t="e">
        <f t="shared" si="15"/>
        <v>#DIV/0!</v>
      </c>
      <c r="AV17" s="9" t="e">
        <f t="shared" si="16"/>
        <v>#DIV/0!</v>
      </c>
    </row>
    <row r="18" spans="1:48" ht="15.75">
      <c r="A18">
        <f t="shared" si="17"/>
        <v>66</v>
      </c>
      <c r="B18" s="9">
        <v>2020</v>
      </c>
      <c r="C18" s="9" t="s">
        <v>4</v>
      </c>
      <c r="D18" s="9" t="s">
        <v>88</v>
      </c>
      <c r="E18" s="7" t="s">
        <v>6</v>
      </c>
      <c r="F18" s="20" t="s">
        <v>7</v>
      </c>
      <c r="G18" s="7" t="s">
        <v>8</v>
      </c>
      <c r="H18" s="7" t="s">
        <v>9</v>
      </c>
      <c r="I18" s="9" t="s">
        <v>45</v>
      </c>
      <c r="J18" s="9">
        <v>500</v>
      </c>
      <c r="K18" s="9">
        <v>0.8</v>
      </c>
      <c r="L18" s="28"/>
      <c r="M18" s="28"/>
      <c r="N18" s="28"/>
      <c r="O18" s="28"/>
      <c r="P18" s="28"/>
      <c r="Q18" s="28"/>
      <c r="R18" s="28"/>
      <c r="S18" s="22"/>
      <c r="T18" s="22"/>
      <c r="U18" s="21"/>
      <c r="V18" s="21"/>
      <c r="W18" s="21"/>
      <c r="X18" s="23"/>
      <c r="Y18" s="22"/>
      <c r="Z18" s="24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P18" s="9" t="e">
        <f t="shared" si="10"/>
        <v>#DIV/0!</v>
      </c>
      <c r="AQ18" s="9" t="e">
        <f t="shared" si="11"/>
        <v>#DIV/0!</v>
      </c>
      <c r="AR18" s="9" t="e">
        <f t="shared" si="12"/>
        <v>#DIV/0!</v>
      </c>
      <c r="AS18" s="9" t="e">
        <f t="shared" si="13"/>
        <v>#DIV/0!</v>
      </c>
      <c r="AT18" s="9" t="e">
        <f t="shared" si="14"/>
        <v>#DIV/0!</v>
      </c>
      <c r="AU18" s="9" t="e">
        <f t="shared" si="15"/>
        <v>#DIV/0!</v>
      </c>
      <c r="AV18" s="9" t="e">
        <f t="shared" si="16"/>
        <v>#DIV/0!</v>
      </c>
    </row>
    <row r="19" spans="1:48" ht="15.75">
      <c r="A19">
        <f t="shared" si="17"/>
        <v>67</v>
      </c>
      <c r="B19" s="9">
        <v>2020</v>
      </c>
      <c r="C19" s="9" t="s">
        <v>4</v>
      </c>
      <c r="D19" s="9" t="s">
        <v>88</v>
      </c>
      <c r="E19" s="7" t="s">
        <v>6</v>
      </c>
      <c r="F19" s="20" t="s">
        <v>76</v>
      </c>
      <c r="G19" s="7" t="s">
        <v>8</v>
      </c>
      <c r="H19" s="7" t="s">
        <v>9</v>
      </c>
      <c r="I19" s="9" t="s">
        <v>45</v>
      </c>
      <c r="J19" s="9">
        <v>500</v>
      </c>
      <c r="K19" s="9">
        <v>0.8</v>
      </c>
      <c r="L19" s="28"/>
      <c r="M19" s="28"/>
      <c r="N19" s="28"/>
      <c r="O19" s="28"/>
      <c r="P19" s="28"/>
      <c r="Q19" s="28"/>
      <c r="R19" s="28"/>
      <c r="S19" s="22"/>
      <c r="T19" s="22"/>
      <c r="U19" s="21"/>
      <c r="V19" s="21"/>
      <c r="W19" s="21"/>
      <c r="X19" s="23"/>
      <c r="Y19" s="22"/>
      <c r="Z19" s="24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P19" s="9" t="e">
        <f t="shared" si="10"/>
        <v>#DIV/0!</v>
      </c>
      <c r="AQ19" s="9" t="e">
        <f t="shared" si="11"/>
        <v>#DIV/0!</v>
      </c>
      <c r="AR19" s="9" t="e">
        <f t="shared" si="12"/>
        <v>#DIV/0!</v>
      </c>
      <c r="AS19" s="9" t="e">
        <f t="shared" si="13"/>
        <v>#DIV/0!</v>
      </c>
      <c r="AT19" s="9" t="e">
        <f t="shared" si="14"/>
        <v>#DIV/0!</v>
      </c>
      <c r="AU19" s="9" t="e">
        <f t="shared" si="15"/>
        <v>#DIV/0!</v>
      </c>
      <c r="AV19" s="9" t="e">
        <f t="shared" si="16"/>
        <v>#DIV/0!</v>
      </c>
    </row>
    <row r="20" spans="1:48" ht="15.75">
      <c r="A20">
        <f t="shared" si="17"/>
        <v>68</v>
      </c>
      <c r="B20" s="9">
        <v>2020</v>
      </c>
      <c r="C20" s="9" t="s">
        <v>4</v>
      </c>
      <c r="D20" s="9" t="s">
        <v>88</v>
      </c>
      <c r="E20" s="7" t="s">
        <v>6</v>
      </c>
      <c r="F20" s="20" t="s">
        <v>77</v>
      </c>
      <c r="G20" s="7" t="s">
        <v>8</v>
      </c>
      <c r="H20" s="7" t="s">
        <v>9</v>
      </c>
      <c r="I20" s="9" t="s">
        <v>45</v>
      </c>
      <c r="J20" s="9">
        <v>500</v>
      </c>
      <c r="K20" s="9">
        <v>0.8</v>
      </c>
      <c r="L20" s="28"/>
      <c r="M20" s="28"/>
      <c r="N20" s="28"/>
      <c r="O20" s="28"/>
      <c r="P20" s="28"/>
      <c r="Q20" s="28"/>
      <c r="R20" s="28"/>
      <c r="S20" s="22"/>
      <c r="T20" s="22"/>
      <c r="U20" s="21"/>
      <c r="V20" s="21"/>
      <c r="W20" s="21"/>
      <c r="X20" s="23"/>
      <c r="Y20" s="22"/>
      <c r="Z20" s="24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P20" s="9" t="e">
        <f t="shared" si="10"/>
        <v>#DIV/0!</v>
      </c>
      <c r="AQ20" s="9" t="e">
        <f t="shared" si="11"/>
        <v>#DIV/0!</v>
      </c>
      <c r="AR20" s="9" t="e">
        <f t="shared" si="12"/>
        <v>#DIV/0!</v>
      </c>
      <c r="AS20" s="9" t="e">
        <f t="shared" si="13"/>
        <v>#DIV/0!</v>
      </c>
      <c r="AT20" s="9" t="e">
        <f t="shared" si="14"/>
        <v>#DIV/0!</v>
      </c>
      <c r="AU20" s="9" t="e">
        <f t="shared" si="15"/>
        <v>#DIV/0!</v>
      </c>
      <c r="AV20" s="9" t="e">
        <f t="shared" si="16"/>
        <v>#DIV/0!</v>
      </c>
    </row>
    <row r="21" spans="1:48" ht="15.75">
      <c r="A21">
        <f t="shared" si="17"/>
        <v>69</v>
      </c>
      <c r="B21" s="9">
        <v>2020</v>
      </c>
      <c r="C21" s="9" t="s">
        <v>4</v>
      </c>
      <c r="D21" s="9" t="s">
        <v>88</v>
      </c>
      <c r="E21" s="7" t="s">
        <v>6</v>
      </c>
      <c r="F21" s="20" t="s">
        <v>78</v>
      </c>
      <c r="G21" s="7" t="s">
        <v>8</v>
      </c>
      <c r="H21" s="7" t="s">
        <v>9</v>
      </c>
      <c r="I21" s="9" t="s">
        <v>45</v>
      </c>
      <c r="J21" s="9">
        <v>500</v>
      </c>
      <c r="K21" s="9">
        <v>0.8</v>
      </c>
      <c r="L21" s="28"/>
      <c r="M21" s="28"/>
      <c r="N21" s="28"/>
      <c r="O21" s="28"/>
      <c r="P21" s="28"/>
      <c r="Q21" s="28"/>
      <c r="R21" s="28"/>
      <c r="S21" s="22"/>
      <c r="T21" s="22"/>
      <c r="U21" s="21"/>
      <c r="V21" s="21"/>
      <c r="W21" s="21"/>
      <c r="X21" s="23"/>
      <c r="Y21" s="22"/>
      <c r="Z21" s="24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P21" s="9" t="e">
        <f t="shared" si="10"/>
        <v>#DIV/0!</v>
      </c>
      <c r="AQ21" s="9" t="e">
        <f t="shared" si="11"/>
        <v>#DIV/0!</v>
      </c>
      <c r="AR21" s="9" t="e">
        <f t="shared" si="12"/>
        <v>#DIV/0!</v>
      </c>
      <c r="AS21" s="9" t="e">
        <f t="shared" si="13"/>
        <v>#DIV/0!</v>
      </c>
      <c r="AT21" s="9" t="e">
        <f t="shared" si="14"/>
        <v>#DIV/0!</v>
      </c>
      <c r="AU21" s="9" t="e">
        <f t="shared" si="15"/>
        <v>#DIV/0!</v>
      </c>
      <c r="AV21" s="9" t="e">
        <f t="shared" si="16"/>
        <v>#DIV/0!</v>
      </c>
    </row>
    <row r="22" spans="1:48" ht="15.75">
      <c r="A22">
        <f t="shared" si="17"/>
        <v>70</v>
      </c>
      <c r="B22" s="9">
        <v>2020</v>
      </c>
      <c r="C22" s="9" t="s">
        <v>4</v>
      </c>
      <c r="D22" s="9" t="s">
        <v>88</v>
      </c>
      <c r="E22" s="7" t="s">
        <v>6</v>
      </c>
      <c r="F22" s="20" t="s">
        <v>79</v>
      </c>
      <c r="G22" s="7" t="s">
        <v>8</v>
      </c>
      <c r="H22" s="7" t="s">
        <v>9</v>
      </c>
      <c r="I22" s="9" t="s">
        <v>45</v>
      </c>
      <c r="J22" s="9">
        <v>500</v>
      </c>
      <c r="K22" s="9">
        <v>0.8</v>
      </c>
      <c r="L22" s="21"/>
      <c r="M22" s="21"/>
      <c r="N22" s="21"/>
      <c r="O22" s="21"/>
      <c r="P22" s="22"/>
      <c r="Q22" s="22"/>
      <c r="R22" s="22"/>
      <c r="S22" s="22"/>
      <c r="T22" s="22"/>
      <c r="U22" s="21"/>
      <c r="V22" s="21"/>
      <c r="W22" s="21"/>
      <c r="X22" s="23"/>
      <c r="Y22" s="22"/>
      <c r="Z22" s="24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P22" s="9" t="e">
        <f t="shared" si="10"/>
        <v>#DIV/0!</v>
      </c>
      <c r="AQ22" s="9" t="e">
        <f t="shared" si="11"/>
        <v>#DIV/0!</v>
      </c>
      <c r="AR22" s="9" t="e">
        <f t="shared" si="12"/>
        <v>#DIV/0!</v>
      </c>
      <c r="AS22" s="9" t="e">
        <f t="shared" si="13"/>
        <v>#DIV/0!</v>
      </c>
      <c r="AT22" s="9" t="e">
        <f t="shared" si="14"/>
        <v>#DIV/0!</v>
      </c>
      <c r="AU22" s="9" t="e">
        <f t="shared" si="15"/>
        <v>#DIV/0!</v>
      </c>
      <c r="AV22" s="9" t="e">
        <f t="shared" si="16"/>
        <v>#DIV/0!</v>
      </c>
    </row>
    <row r="23" spans="1:48" ht="15.75">
      <c r="A23">
        <f t="shared" si="17"/>
        <v>71</v>
      </c>
      <c r="B23" s="9">
        <v>2020</v>
      </c>
      <c r="C23" s="9" t="s">
        <v>4</v>
      </c>
      <c r="D23" s="9" t="s">
        <v>88</v>
      </c>
      <c r="E23" s="7" t="s">
        <v>6</v>
      </c>
      <c r="F23" s="20" t="s">
        <v>80</v>
      </c>
      <c r="G23" s="7" t="s">
        <v>8</v>
      </c>
      <c r="H23" s="7" t="s">
        <v>9</v>
      </c>
      <c r="I23" s="9" t="s">
        <v>45</v>
      </c>
      <c r="J23" s="9">
        <v>500</v>
      </c>
      <c r="K23" s="9">
        <v>0.8</v>
      </c>
      <c r="L23" s="21"/>
      <c r="M23" s="21"/>
      <c r="N23" s="21"/>
      <c r="O23" s="21"/>
      <c r="P23" s="22"/>
      <c r="Q23" s="22"/>
      <c r="R23" s="22"/>
      <c r="S23" s="22"/>
      <c r="T23" s="22"/>
      <c r="U23" s="21"/>
      <c r="V23" s="21"/>
      <c r="W23" s="21"/>
      <c r="X23" s="23"/>
      <c r="Y23" s="22"/>
      <c r="Z23" s="24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P23" s="9" t="e">
        <f t="shared" si="10"/>
        <v>#DIV/0!</v>
      </c>
      <c r="AQ23" s="9" t="e">
        <f t="shared" si="11"/>
        <v>#DIV/0!</v>
      </c>
      <c r="AR23" s="9" t="e">
        <f t="shared" si="12"/>
        <v>#DIV/0!</v>
      </c>
      <c r="AS23" s="9" t="e">
        <f t="shared" si="13"/>
        <v>#DIV/0!</v>
      </c>
      <c r="AT23" s="9" t="e">
        <f t="shared" si="14"/>
        <v>#DIV/0!</v>
      </c>
      <c r="AU23" s="9" t="e">
        <f t="shared" si="15"/>
        <v>#DIV/0!</v>
      </c>
      <c r="AV23" s="9" t="e">
        <f t="shared" si="16"/>
        <v>#DIV/0!</v>
      </c>
    </row>
    <row r="24" spans="1:48" ht="15.75">
      <c r="A24">
        <f t="shared" si="17"/>
        <v>72</v>
      </c>
      <c r="B24" s="9">
        <v>2020</v>
      </c>
      <c r="C24" s="9" t="s">
        <v>4</v>
      </c>
      <c r="D24" s="9" t="s">
        <v>88</v>
      </c>
      <c r="E24" s="7" t="s">
        <v>6</v>
      </c>
      <c r="F24" s="20" t="s">
        <v>81</v>
      </c>
      <c r="G24" s="7" t="s">
        <v>8</v>
      </c>
      <c r="H24" s="7" t="s">
        <v>9</v>
      </c>
      <c r="I24" s="9" t="s">
        <v>45</v>
      </c>
      <c r="J24" s="9">
        <v>500</v>
      </c>
      <c r="K24" s="9">
        <v>0.8</v>
      </c>
      <c r="L24" s="21"/>
      <c r="M24" s="21"/>
      <c r="N24" s="21"/>
      <c r="O24" s="21"/>
      <c r="P24" s="22"/>
      <c r="Q24" s="22"/>
      <c r="R24" s="22"/>
      <c r="S24" s="22"/>
      <c r="T24" s="22"/>
      <c r="U24" s="21"/>
      <c r="V24" s="21"/>
      <c r="W24" s="21"/>
      <c r="X24" s="23"/>
      <c r="Y24" s="22"/>
      <c r="Z24" s="24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P24" s="9" t="e">
        <f t="shared" si="10"/>
        <v>#DIV/0!</v>
      </c>
      <c r="AQ24" s="9" t="e">
        <f t="shared" si="11"/>
        <v>#DIV/0!</v>
      </c>
      <c r="AR24" s="9" t="e">
        <f t="shared" si="12"/>
        <v>#DIV/0!</v>
      </c>
      <c r="AS24" s="9" t="e">
        <f t="shared" si="13"/>
        <v>#DIV/0!</v>
      </c>
      <c r="AT24" s="9" t="e">
        <f t="shared" si="14"/>
        <v>#DIV/0!</v>
      </c>
      <c r="AU24" s="9" t="e">
        <f t="shared" si="15"/>
        <v>#DIV/0!</v>
      </c>
      <c r="AV24" s="9" t="e">
        <f t="shared" si="16"/>
        <v>#DIV/0!</v>
      </c>
    </row>
    <row r="25" spans="1:48" ht="15.75">
      <c r="A25">
        <f t="shared" si="17"/>
        <v>73</v>
      </c>
      <c r="B25" s="9">
        <v>2020</v>
      </c>
      <c r="C25" s="9" t="s">
        <v>4</v>
      </c>
      <c r="D25" s="9" t="s">
        <v>88</v>
      </c>
      <c r="E25" s="7" t="s">
        <v>6</v>
      </c>
      <c r="F25" s="20" t="s">
        <v>82</v>
      </c>
      <c r="G25" s="7" t="s">
        <v>8</v>
      </c>
      <c r="H25" s="7" t="s">
        <v>9</v>
      </c>
      <c r="I25" s="9" t="s">
        <v>45</v>
      </c>
      <c r="J25" s="9">
        <v>500</v>
      </c>
      <c r="K25" s="9">
        <v>0.8</v>
      </c>
      <c r="L25" s="21"/>
      <c r="M25" s="21"/>
      <c r="N25" s="21"/>
      <c r="O25" s="21"/>
      <c r="P25" s="22"/>
      <c r="Q25" s="22"/>
      <c r="R25" s="22"/>
      <c r="S25" s="22"/>
      <c r="T25" s="22"/>
      <c r="U25" s="21"/>
      <c r="V25" s="21"/>
      <c r="W25" s="21"/>
      <c r="X25" s="23"/>
      <c r="Y25" s="22"/>
      <c r="Z25" s="24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P25" s="9" t="e">
        <f t="shared" si="10"/>
        <v>#DIV/0!</v>
      </c>
      <c r="AQ25" s="9" t="e">
        <f t="shared" si="11"/>
        <v>#DIV/0!</v>
      </c>
      <c r="AR25" s="9" t="e">
        <f t="shared" si="12"/>
        <v>#DIV/0!</v>
      </c>
      <c r="AS25" s="9" t="e">
        <f t="shared" si="13"/>
        <v>#DIV/0!</v>
      </c>
      <c r="AT25" s="9" t="e">
        <f t="shared" si="14"/>
        <v>#DIV/0!</v>
      </c>
      <c r="AU25" s="9" t="e">
        <f t="shared" si="15"/>
        <v>#DIV/0!</v>
      </c>
      <c r="AV25" s="9" t="e">
        <f t="shared" si="16"/>
        <v>#DIV/0!</v>
      </c>
    </row>
    <row r="26" spans="1:48" ht="15.75">
      <c r="A26">
        <f t="shared" si="17"/>
        <v>74</v>
      </c>
      <c r="B26" s="9">
        <v>2020</v>
      </c>
      <c r="C26" s="9" t="s">
        <v>4</v>
      </c>
      <c r="D26" s="9" t="s">
        <v>88</v>
      </c>
      <c r="E26" s="7" t="s">
        <v>6</v>
      </c>
      <c r="F26" s="20" t="s">
        <v>83</v>
      </c>
      <c r="G26" s="7" t="s">
        <v>8</v>
      </c>
      <c r="H26" s="7" t="s">
        <v>9</v>
      </c>
      <c r="I26" s="9" t="s">
        <v>45</v>
      </c>
      <c r="J26" s="9">
        <v>500</v>
      </c>
      <c r="K26" s="9">
        <v>0.8</v>
      </c>
      <c r="L26" s="21"/>
      <c r="M26" s="21"/>
      <c r="N26" s="21"/>
      <c r="O26" s="21"/>
      <c r="P26" s="22"/>
      <c r="Q26" s="22"/>
      <c r="R26" s="22"/>
      <c r="S26" s="22"/>
      <c r="T26" s="22"/>
      <c r="U26" s="21"/>
      <c r="V26" s="21"/>
      <c r="W26" s="21"/>
      <c r="X26" s="23"/>
      <c r="Y26" s="22"/>
      <c r="Z26" s="24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P26" s="9" t="e">
        <f t="shared" si="10"/>
        <v>#DIV/0!</v>
      </c>
      <c r="AQ26" s="9" t="e">
        <f t="shared" si="11"/>
        <v>#DIV/0!</v>
      </c>
      <c r="AR26" s="9" t="e">
        <f t="shared" si="12"/>
        <v>#DIV/0!</v>
      </c>
      <c r="AS26" s="9" t="e">
        <f t="shared" si="13"/>
        <v>#DIV/0!</v>
      </c>
      <c r="AT26" s="9" t="e">
        <f t="shared" si="14"/>
        <v>#DIV/0!</v>
      </c>
      <c r="AU26" s="9" t="e">
        <f t="shared" si="15"/>
        <v>#DIV/0!</v>
      </c>
      <c r="AV26" s="9" t="e">
        <f t="shared" si="16"/>
        <v>#DIV/0!</v>
      </c>
    </row>
    <row r="27" spans="1:48" ht="15.75">
      <c r="A27">
        <f t="shared" si="17"/>
        <v>75</v>
      </c>
      <c r="B27" s="9">
        <v>2020</v>
      </c>
      <c r="C27" s="9" t="s">
        <v>4</v>
      </c>
      <c r="D27" s="9" t="s">
        <v>88</v>
      </c>
      <c r="E27" s="7" t="s">
        <v>6</v>
      </c>
      <c r="F27" s="20" t="s">
        <v>84</v>
      </c>
      <c r="G27" s="7" t="s">
        <v>8</v>
      </c>
      <c r="H27" s="7" t="s">
        <v>9</v>
      </c>
      <c r="I27" s="9" t="s">
        <v>45</v>
      </c>
      <c r="J27" s="9">
        <v>500</v>
      </c>
      <c r="K27" s="9">
        <v>0.8</v>
      </c>
      <c r="L27" s="21"/>
      <c r="M27" s="21"/>
      <c r="N27" s="21"/>
      <c r="O27" s="21"/>
      <c r="P27" s="22"/>
      <c r="Q27" s="22"/>
      <c r="R27" s="22"/>
      <c r="S27" s="22"/>
      <c r="T27" s="22"/>
      <c r="U27" s="21"/>
      <c r="V27" s="21"/>
      <c r="W27" s="21"/>
      <c r="X27" s="23"/>
      <c r="Y27" s="22"/>
      <c r="Z27" s="24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P27" s="9" t="e">
        <f t="shared" si="10"/>
        <v>#DIV/0!</v>
      </c>
      <c r="AQ27" s="9" t="e">
        <f t="shared" si="11"/>
        <v>#DIV/0!</v>
      </c>
      <c r="AR27" s="9" t="e">
        <f t="shared" si="12"/>
        <v>#DIV/0!</v>
      </c>
      <c r="AS27" s="9" t="e">
        <f t="shared" si="13"/>
        <v>#DIV/0!</v>
      </c>
      <c r="AT27" s="9" t="e">
        <f t="shared" si="14"/>
        <v>#DIV/0!</v>
      </c>
      <c r="AU27" s="9" t="e">
        <f t="shared" si="15"/>
        <v>#DIV/0!</v>
      </c>
      <c r="AV27" s="9" t="e">
        <f t="shared" si="16"/>
        <v>#DIV/0!</v>
      </c>
    </row>
    <row r="28" spans="1:48" ht="15.75">
      <c r="A28">
        <f t="shared" si="17"/>
        <v>76</v>
      </c>
      <c r="B28" s="9">
        <v>2020</v>
      </c>
      <c r="C28" s="9" t="s">
        <v>4</v>
      </c>
      <c r="D28" s="9" t="s">
        <v>88</v>
      </c>
      <c r="E28" s="7" t="s">
        <v>6</v>
      </c>
      <c r="F28" s="20" t="s">
        <v>85</v>
      </c>
      <c r="G28" s="7" t="s">
        <v>8</v>
      </c>
      <c r="H28" s="7" t="s">
        <v>9</v>
      </c>
      <c r="I28" s="9" t="s">
        <v>45</v>
      </c>
      <c r="J28" s="9">
        <v>500</v>
      </c>
      <c r="K28" s="9">
        <v>0.8</v>
      </c>
      <c r="L28" s="21"/>
      <c r="M28" s="21"/>
      <c r="N28" s="21"/>
      <c r="O28" s="21"/>
      <c r="P28" s="22"/>
      <c r="Q28" s="22"/>
      <c r="R28" s="22"/>
      <c r="S28" s="22"/>
      <c r="T28" s="22"/>
      <c r="U28" s="21"/>
      <c r="V28" s="21"/>
      <c r="W28" s="21"/>
      <c r="X28" s="23"/>
      <c r="Y28" s="22"/>
      <c r="Z28" s="24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P28" s="9" t="e">
        <f t="shared" si="10"/>
        <v>#DIV/0!</v>
      </c>
      <c r="AQ28" s="9" t="e">
        <f t="shared" si="11"/>
        <v>#DIV/0!</v>
      </c>
      <c r="AR28" s="9" t="e">
        <f t="shared" si="12"/>
        <v>#DIV/0!</v>
      </c>
      <c r="AS28" s="9" t="e">
        <f t="shared" si="13"/>
        <v>#DIV/0!</v>
      </c>
      <c r="AT28" s="9" t="e">
        <f t="shared" si="14"/>
        <v>#DIV/0!</v>
      </c>
      <c r="AU28" s="9" t="e">
        <f t="shared" si="15"/>
        <v>#DIV/0!</v>
      </c>
      <c r="AV28" s="9" t="e">
        <f t="shared" si="16"/>
        <v>#DIV/0!</v>
      </c>
    </row>
    <row r="29" spans="1:48" ht="15.75">
      <c r="A29">
        <f t="shared" si="17"/>
        <v>77</v>
      </c>
      <c r="B29" s="9">
        <v>2020</v>
      </c>
      <c r="C29" s="9" t="s">
        <v>4</v>
      </c>
      <c r="D29" s="9" t="s">
        <v>88</v>
      </c>
      <c r="E29" s="7" t="s">
        <v>6</v>
      </c>
      <c r="F29" s="20" t="s">
        <v>86</v>
      </c>
      <c r="G29" s="7" t="s">
        <v>8</v>
      </c>
      <c r="H29" s="7" t="s">
        <v>9</v>
      </c>
      <c r="I29" s="9" t="s">
        <v>45</v>
      </c>
      <c r="J29" s="9">
        <v>500</v>
      </c>
      <c r="K29" s="9">
        <v>0.8</v>
      </c>
      <c r="L29" s="21"/>
      <c r="M29" s="21"/>
      <c r="N29" s="21"/>
      <c r="O29" s="21"/>
      <c r="P29" s="22"/>
      <c r="Q29" s="22"/>
      <c r="R29" s="22"/>
      <c r="S29" s="22"/>
      <c r="T29" s="22"/>
      <c r="U29" s="21"/>
      <c r="V29" s="21"/>
      <c r="W29" s="21"/>
      <c r="X29" s="23"/>
      <c r="Y29" s="22"/>
      <c r="Z29" s="24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P29" s="9" t="e">
        <f t="shared" si="10"/>
        <v>#DIV/0!</v>
      </c>
      <c r="AQ29" s="9" t="e">
        <f t="shared" si="11"/>
        <v>#DIV/0!</v>
      </c>
      <c r="AR29" s="9" t="e">
        <f t="shared" si="12"/>
        <v>#DIV/0!</v>
      </c>
      <c r="AS29" s="9" t="e">
        <f t="shared" si="13"/>
        <v>#DIV/0!</v>
      </c>
      <c r="AT29" s="9" t="e">
        <f t="shared" si="14"/>
        <v>#DIV/0!</v>
      </c>
      <c r="AU29" s="9" t="e">
        <f t="shared" si="15"/>
        <v>#DIV/0!</v>
      </c>
      <c r="AV29" s="9" t="e">
        <f t="shared" si="16"/>
        <v>#DIV/0!</v>
      </c>
    </row>
    <row r="30" spans="1:48" ht="15.75">
      <c r="A30">
        <f t="shared" si="17"/>
        <v>78</v>
      </c>
      <c r="B30" s="9">
        <v>2020</v>
      </c>
      <c r="C30" s="9" t="s">
        <v>4</v>
      </c>
      <c r="D30" s="9" t="s">
        <v>88</v>
      </c>
      <c r="E30" s="7" t="s">
        <v>6</v>
      </c>
      <c r="F30" s="20" t="s">
        <v>87</v>
      </c>
      <c r="G30" s="7" t="s">
        <v>8</v>
      </c>
      <c r="H30" s="7" t="s">
        <v>9</v>
      </c>
      <c r="I30" s="9" t="s">
        <v>45</v>
      </c>
      <c r="J30" s="9">
        <v>500</v>
      </c>
      <c r="K30" s="9">
        <v>0.8</v>
      </c>
      <c r="L30" s="21"/>
      <c r="M30" s="21"/>
      <c r="N30" s="21"/>
      <c r="O30" s="21"/>
      <c r="P30" s="22"/>
      <c r="Q30" s="22"/>
      <c r="R30" s="22"/>
      <c r="S30" s="22"/>
      <c r="T30" s="22"/>
      <c r="U30" s="21"/>
      <c r="V30" s="21"/>
      <c r="W30" s="21"/>
      <c r="X30" s="23"/>
      <c r="Y30" s="22"/>
      <c r="Z30" s="24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P30" s="9" t="e">
        <f t="shared" si="10"/>
        <v>#DIV/0!</v>
      </c>
      <c r="AQ30" s="9" t="e">
        <f t="shared" si="11"/>
        <v>#DIV/0!</v>
      </c>
      <c r="AR30" s="9" t="e">
        <f t="shared" si="12"/>
        <v>#DIV/0!</v>
      </c>
      <c r="AS30" s="9" t="e">
        <f t="shared" si="13"/>
        <v>#DIV/0!</v>
      </c>
      <c r="AT30" s="9" t="e">
        <f t="shared" si="14"/>
        <v>#DIV/0!</v>
      </c>
      <c r="AU30" s="9" t="e">
        <f t="shared" si="15"/>
        <v>#DIV/0!</v>
      </c>
      <c r="AV30" s="9" t="e">
        <f t="shared" si="16"/>
        <v>#DIV/0!</v>
      </c>
    </row>
    <row r="31" spans="1:48" ht="15.75">
      <c r="A31">
        <f t="shared" si="17"/>
        <v>79</v>
      </c>
      <c r="B31" s="9">
        <v>2020</v>
      </c>
      <c r="C31" s="9" t="s">
        <v>89</v>
      </c>
      <c r="D31" s="9" t="s">
        <v>5</v>
      </c>
      <c r="E31" s="7" t="s">
        <v>6</v>
      </c>
      <c r="F31" s="20" t="s">
        <v>7</v>
      </c>
      <c r="G31" s="7" t="s">
        <v>8</v>
      </c>
      <c r="H31" s="7" t="s">
        <v>9</v>
      </c>
      <c r="I31" s="9" t="s">
        <v>45</v>
      </c>
      <c r="J31" s="9">
        <v>500</v>
      </c>
      <c r="K31" s="9">
        <v>0.8</v>
      </c>
      <c r="L31" s="21"/>
      <c r="M31" s="21"/>
      <c r="N31" s="21"/>
      <c r="O31" s="21"/>
      <c r="P31" s="22"/>
      <c r="Q31" s="22"/>
      <c r="R31" s="22"/>
      <c r="S31" s="22"/>
      <c r="T31" s="22"/>
      <c r="U31" s="21"/>
      <c r="V31" s="21"/>
      <c r="W31" s="21"/>
      <c r="X31" s="23"/>
      <c r="Y31" s="22"/>
      <c r="Z31" s="24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P31" s="9" t="e">
        <f t="shared" si="10"/>
        <v>#DIV/0!</v>
      </c>
      <c r="AQ31" s="9" t="e">
        <f t="shared" si="11"/>
        <v>#DIV/0!</v>
      </c>
      <c r="AR31" s="9" t="e">
        <f t="shared" si="12"/>
        <v>#DIV/0!</v>
      </c>
      <c r="AS31" s="9" t="e">
        <f t="shared" si="13"/>
        <v>#DIV/0!</v>
      </c>
      <c r="AT31" s="9" t="e">
        <f t="shared" si="14"/>
        <v>#DIV/0!</v>
      </c>
      <c r="AU31" s="9" t="e">
        <f t="shared" si="15"/>
        <v>#DIV/0!</v>
      </c>
      <c r="AV31" s="9" t="e">
        <f t="shared" si="16"/>
        <v>#DIV/0!</v>
      </c>
    </row>
    <row r="32" spans="1:48" ht="15.75">
      <c r="A32">
        <f t="shared" si="17"/>
        <v>80</v>
      </c>
      <c r="B32" s="9">
        <v>2020</v>
      </c>
      <c r="C32" s="9" t="s">
        <v>89</v>
      </c>
      <c r="D32" s="9" t="s">
        <v>5</v>
      </c>
      <c r="E32" s="7" t="s">
        <v>6</v>
      </c>
      <c r="F32" s="20" t="s">
        <v>76</v>
      </c>
      <c r="G32" s="7" t="s">
        <v>8</v>
      </c>
      <c r="H32" s="7" t="s">
        <v>9</v>
      </c>
      <c r="I32" s="9" t="s">
        <v>45</v>
      </c>
      <c r="J32" s="9">
        <v>500</v>
      </c>
      <c r="K32" s="9">
        <v>0.8</v>
      </c>
      <c r="L32" s="21"/>
      <c r="M32" s="21"/>
      <c r="N32" s="21"/>
      <c r="O32" s="21"/>
      <c r="P32" s="22"/>
      <c r="Q32" s="22"/>
      <c r="R32" s="22"/>
      <c r="S32" s="22"/>
      <c r="T32" s="22"/>
      <c r="U32" s="21"/>
      <c r="V32" s="21"/>
      <c r="W32" s="21"/>
      <c r="X32" s="23"/>
      <c r="Y32" s="22"/>
      <c r="Z32" s="24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P32" s="9" t="e">
        <f t="shared" si="10"/>
        <v>#DIV/0!</v>
      </c>
      <c r="AQ32" s="9" t="e">
        <f t="shared" si="11"/>
        <v>#DIV/0!</v>
      </c>
      <c r="AR32" s="9" t="e">
        <f t="shared" si="12"/>
        <v>#DIV/0!</v>
      </c>
      <c r="AS32" s="9" t="e">
        <f t="shared" si="13"/>
        <v>#DIV/0!</v>
      </c>
      <c r="AT32" s="9" t="e">
        <f t="shared" si="14"/>
        <v>#DIV/0!</v>
      </c>
      <c r="AU32" s="9" t="e">
        <f t="shared" si="15"/>
        <v>#DIV/0!</v>
      </c>
      <c r="AV32" s="9" t="e">
        <f t="shared" si="16"/>
        <v>#DIV/0!</v>
      </c>
    </row>
    <row r="33" spans="1:48" ht="15.75">
      <c r="A33">
        <f t="shared" si="17"/>
        <v>81</v>
      </c>
      <c r="B33" s="9">
        <v>2020</v>
      </c>
      <c r="C33" s="9" t="s">
        <v>89</v>
      </c>
      <c r="D33" s="9" t="s">
        <v>5</v>
      </c>
      <c r="E33" s="7" t="s">
        <v>6</v>
      </c>
      <c r="F33" s="20" t="s">
        <v>77</v>
      </c>
      <c r="G33" s="7" t="s">
        <v>8</v>
      </c>
      <c r="H33" s="7" t="s">
        <v>9</v>
      </c>
      <c r="I33" s="9" t="s">
        <v>45</v>
      </c>
      <c r="J33" s="9">
        <v>500</v>
      </c>
      <c r="K33" s="9">
        <v>0.8</v>
      </c>
      <c r="L33" s="21"/>
      <c r="M33" s="21"/>
      <c r="N33" s="21"/>
      <c r="O33" s="21"/>
      <c r="P33" s="22"/>
      <c r="Q33" s="22"/>
      <c r="R33" s="22"/>
      <c r="S33" s="22"/>
      <c r="T33" s="22"/>
      <c r="U33" s="21"/>
      <c r="V33" s="21"/>
      <c r="W33" s="21"/>
      <c r="X33" s="23"/>
      <c r="Y33" s="22"/>
      <c r="Z33" s="24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P33" s="9" t="e">
        <f t="shared" si="10"/>
        <v>#DIV/0!</v>
      </c>
      <c r="AQ33" s="9" t="e">
        <f t="shared" si="11"/>
        <v>#DIV/0!</v>
      </c>
      <c r="AR33" s="9" t="e">
        <f t="shared" si="12"/>
        <v>#DIV/0!</v>
      </c>
      <c r="AS33" s="9" t="e">
        <f t="shared" si="13"/>
        <v>#DIV/0!</v>
      </c>
      <c r="AT33" s="9" t="e">
        <f t="shared" si="14"/>
        <v>#DIV/0!</v>
      </c>
      <c r="AU33" s="9" t="e">
        <f t="shared" si="15"/>
        <v>#DIV/0!</v>
      </c>
      <c r="AV33" s="9" t="e">
        <f t="shared" si="16"/>
        <v>#DIV/0!</v>
      </c>
    </row>
    <row r="34" spans="1:48" ht="15.75">
      <c r="A34">
        <f t="shared" si="17"/>
        <v>82</v>
      </c>
      <c r="B34" s="9">
        <v>2020</v>
      </c>
      <c r="C34" s="9" t="s">
        <v>89</v>
      </c>
      <c r="D34" s="9" t="s">
        <v>5</v>
      </c>
      <c r="E34" s="7" t="s">
        <v>6</v>
      </c>
      <c r="F34" s="20" t="s">
        <v>78</v>
      </c>
      <c r="G34" s="7" t="s">
        <v>8</v>
      </c>
      <c r="H34" s="7" t="s">
        <v>9</v>
      </c>
      <c r="I34" s="9" t="s">
        <v>45</v>
      </c>
      <c r="J34" s="9">
        <v>500</v>
      </c>
      <c r="K34" s="9">
        <v>0.8</v>
      </c>
      <c r="L34" s="21"/>
      <c r="M34" s="21"/>
      <c r="N34" s="21"/>
      <c r="O34" s="21"/>
      <c r="P34" s="22"/>
      <c r="Q34" s="22"/>
      <c r="R34" s="22"/>
      <c r="S34" s="22"/>
      <c r="T34" s="22"/>
      <c r="U34" s="21"/>
      <c r="V34" s="21"/>
      <c r="W34" s="21"/>
      <c r="X34" s="23"/>
      <c r="Y34" s="22"/>
      <c r="Z34" s="24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P34" s="9" t="e">
        <f t="shared" si="10"/>
        <v>#DIV/0!</v>
      </c>
      <c r="AQ34" s="9" t="e">
        <f t="shared" si="11"/>
        <v>#DIV/0!</v>
      </c>
      <c r="AR34" s="9" t="e">
        <f t="shared" si="12"/>
        <v>#DIV/0!</v>
      </c>
      <c r="AS34" s="9" t="e">
        <f t="shared" si="13"/>
        <v>#DIV/0!</v>
      </c>
      <c r="AT34" s="9" t="e">
        <f t="shared" si="14"/>
        <v>#DIV/0!</v>
      </c>
      <c r="AU34" s="9" t="e">
        <f t="shared" si="15"/>
        <v>#DIV/0!</v>
      </c>
      <c r="AV34" s="9" t="e">
        <f t="shared" si="16"/>
        <v>#DIV/0!</v>
      </c>
    </row>
    <row r="35" spans="1:48" ht="15.75">
      <c r="A35">
        <f t="shared" si="17"/>
        <v>83</v>
      </c>
      <c r="B35" s="9">
        <v>2020</v>
      </c>
      <c r="C35" s="9" t="s">
        <v>89</v>
      </c>
      <c r="D35" s="9" t="s">
        <v>5</v>
      </c>
      <c r="E35" s="7" t="s">
        <v>6</v>
      </c>
      <c r="F35" s="20" t="s">
        <v>79</v>
      </c>
      <c r="G35" s="7" t="s">
        <v>8</v>
      </c>
      <c r="H35" s="7" t="s">
        <v>9</v>
      </c>
      <c r="I35" s="9" t="s">
        <v>45</v>
      </c>
      <c r="J35" s="9">
        <v>500</v>
      </c>
      <c r="K35" s="9">
        <v>0.8</v>
      </c>
      <c r="L35" s="21"/>
      <c r="M35" s="21"/>
      <c r="N35" s="21"/>
      <c r="O35" s="21"/>
      <c r="P35" s="22"/>
      <c r="Q35" s="22"/>
      <c r="R35" s="22"/>
      <c r="S35" s="22"/>
      <c r="T35" s="22"/>
      <c r="U35" s="21"/>
      <c r="V35" s="21"/>
      <c r="W35" s="21"/>
      <c r="X35" s="23"/>
      <c r="Y35" s="22"/>
      <c r="Z35" s="24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P35" s="9" t="e">
        <f t="shared" si="10"/>
        <v>#DIV/0!</v>
      </c>
      <c r="AQ35" s="9" t="e">
        <f t="shared" si="11"/>
        <v>#DIV/0!</v>
      </c>
      <c r="AR35" s="9" t="e">
        <f t="shared" si="12"/>
        <v>#DIV/0!</v>
      </c>
      <c r="AS35" s="9" t="e">
        <f t="shared" si="13"/>
        <v>#DIV/0!</v>
      </c>
      <c r="AT35" s="9" t="e">
        <f t="shared" si="14"/>
        <v>#DIV/0!</v>
      </c>
      <c r="AU35" s="9" t="e">
        <f t="shared" si="15"/>
        <v>#DIV/0!</v>
      </c>
      <c r="AV35" s="9" t="e">
        <f t="shared" si="16"/>
        <v>#DIV/0!</v>
      </c>
    </row>
    <row r="36" spans="1:48" ht="15.75">
      <c r="A36">
        <f t="shared" si="17"/>
        <v>84</v>
      </c>
      <c r="B36" s="9">
        <v>2020</v>
      </c>
      <c r="C36" s="9" t="s">
        <v>89</v>
      </c>
      <c r="D36" s="9" t="s">
        <v>5</v>
      </c>
      <c r="E36" s="7" t="s">
        <v>6</v>
      </c>
      <c r="F36" s="20" t="s">
        <v>80</v>
      </c>
      <c r="G36" s="7" t="s">
        <v>8</v>
      </c>
      <c r="H36" s="7" t="s">
        <v>9</v>
      </c>
      <c r="I36" s="9" t="s">
        <v>45</v>
      </c>
      <c r="J36" s="9">
        <v>500</v>
      </c>
      <c r="K36" s="9">
        <v>0.8</v>
      </c>
      <c r="L36" s="21"/>
      <c r="M36" s="21"/>
      <c r="N36" s="21"/>
      <c r="O36" s="21"/>
      <c r="P36" s="22"/>
      <c r="Q36" s="22"/>
      <c r="R36" s="22"/>
      <c r="S36" s="22"/>
      <c r="T36" s="22"/>
      <c r="U36" s="21"/>
      <c r="V36" s="21"/>
      <c r="W36" s="21"/>
      <c r="X36" s="23"/>
      <c r="Y36" s="22"/>
      <c r="Z36" s="24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P36" s="9" t="e">
        <f t="shared" si="10"/>
        <v>#DIV/0!</v>
      </c>
      <c r="AQ36" s="9" t="e">
        <f t="shared" si="11"/>
        <v>#DIV/0!</v>
      </c>
      <c r="AR36" s="9" t="e">
        <f t="shared" si="12"/>
        <v>#DIV/0!</v>
      </c>
      <c r="AS36" s="9" t="e">
        <f t="shared" si="13"/>
        <v>#DIV/0!</v>
      </c>
      <c r="AT36" s="9" t="e">
        <f t="shared" si="14"/>
        <v>#DIV/0!</v>
      </c>
      <c r="AU36" s="9" t="e">
        <f t="shared" si="15"/>
        <v>#DIV/0!</v>
      </c>
      <c r="AV36" s="9" t="e">
        <f t="shared" si="16"/>
        <v>#DIV/0!</v>
      </c>
    </row>
    <row r="37" spans="1:48" ht="15.75">
      <c r="A37">
        <f t="shared" si="17"/>
        <v>85</v>
      </c>
      <c r="B37" s="9">
        <v>2020</v>
      </c>
      <c r="C37" s="9" t="s">
        <v>89</v>
      </c>
      <c r="D37" s="9" t="s">
        <v>5</v>
      </c>
      <c r="E37" s="7" t="s">
        <v>6</v>
      </c>
      <c r="F37" s="20" t="s">
        <v>81</v>
      </c>
      <c r="G37" s="7" t="s">
        <v>8</v>
      </c>
      <c r="H37" s="7" t="s">
        <v>9</v>
      </c>
      <c r="I37" s="9" t="s">
        <v>45</v>
      </c>
      <c r="J37" s="9">
        <v>500</v>
      </c>
      <c r="K37" s="9">
        <v>0.8</v>
      </c>
      <c r="L37" s="21"/>
      <c r="M37" s="21"/>
      <c r="N37" s="21"/>
      <c r="O37" s="21"/>
      <c r="P37" s="22"/>
      <c r="Q37" s="22"/>
      <c r="R37" s="22"/>
      <c r="S37" s="22"/>
      <c r="T37" s="22"/>
      <c r="U37" s="21"/>
      <c r="V37" s="21"/>
      <c r="W37" s="21"/>
      <c r="X37" s="23"/>
      <c r="Y37" s="22"/>
      <c r="Z37" s="24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P37" s="9" t="e">
        <f t="shared" si="10"/>
        <v>#DIV/0!</v>
      </c>
      <c r="AQ37" s="9" t="e">
        <f t="shared" si="11"/>
        <v>#DIV/0!</v>
      </c>
      <c r="AR37" s="9" t="e">
        <f t="shared" si="12"/>
        <v>#DIV/0!</v>
      </c>
      <c r="AS37" s="9" t="e">
        <f t="shared" si="13"/>
        <v>#DIV/0!</v>
      </c>
      <c r="AT37" s="9" t="e">
        <f t="shared" si="14"/>
        <v>#DIV/0!</v>
      </c>
      <c r="AU37" s="9" t="e">
        <f t="shared" si="15"/>
        <v>#DIV/0!</v>
      </c>
      <c r="AV37" s="9" t="e">
        <f t="shared" si="16"/>
        <v>#DIV/0!</v>
      </c>
    </row>
    <row r="38" spans="1:48" ht="15.75">
      <c r="A38">
        <f t="shared" si="17"/>
        <v>86</v>
      </c>
      <c r="B38" s="9">
        <v>2020</v>
      </c>
      <c r="C38" s="9" t="s">
        <v>89</v>
      </c>
      <c r="D38" s="9" t="s">
        <v>5</v>
      </c>
      <c r="E38" s="7" t="s">
        <v>6</v>
      </c>
      <c r="F38" s="20" t="s">
        <v>82</v>
      </c>
      <c r="G38" s="7" t="s">
        <v>8</v>
      </c>
      <c r="H38" s="7" t="s">
        <v>9</v>
      </c>
      <c r="I38" s="9" t="s">
        <v>45</v>
      </c>
      <c r="J38" s="9">
        <v>500</v>
      </c>
      <c r="K38" s="9">
        <v>0.8</v>
      </c>
      <c r="L38" s="21"/>
      <c r="M38" s="21"/>
      <c r="N38" s="21"/>
      <c r="O38" s="21"/>
      <c r="P38" s="22"/>
      <c r="Q38" s="22"/>
      <c r="R38" s="22"/>
      <c r="S38" s="22"/>
      <c r="T38" s="22"/>
      <c r="U38" s="21"/>
      <c r="V38" s="21"/>
      <c r="W38" s="21"/>
      <c r="X38" s="23"/>
      <c r="Y38" s="22"/>
      <c r="Z38" s="24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P38" s="9" t="e">
        <f t="shared" si="10"/>
        <v>#DIV/0!</v>
      </c>
      <c r="AQ38" s="9" t="e">
        <f t="shared" si="11"/>
        <v>#DIV/0!</v>
      </c>
      <c r="AR38" s="9" t="e">
        <f t="shared" si="12"/>
        <v>#DIV/0!</v>
      </c>
      <c r="AS38" s="9" t="e">
        <f t="shared" si="13"/>
        <v>#DIV/0!</v>
      </c>
      <c r="AT38" s="9" t="e">
        <f t="shared" si="14"/>
        <v>#DIV/0!</v>
      </c>
      <c r="AU38" s="9" t="e">
        <f t="shared" si="15"/>
        <v>#DIV/0!</v>
      </c>
      <c r="AV38" s="9" t="e">
        <f t="shared" si="16"/>
        <v>#DIV/0!</v>
      </c>
    </row>
    <row r="39" spans="1:48" ht="15.75">
      <c r="A39">
        <f t="shared" si="17"/>
        <v>87</v>
      </c>
      <c r="B39" s="9">
        <v>2020</v>
      </c>
      <c r="C39" s="9" t="s">
        <v>89</v>
      </c>
      <c r="D39" s="9" t="s">
        <v>5</v>
      </c>
      <c r="E39" s="7" t="s">
        <v>6</v>
      </c>
      <c r="F39" s="20" t="s">
        <v>83</v>
      </c>
      <c r="G39" s="7" t="s">
        <v>8</v>
      </c>
      <c r="H39" s="7" t="s">
        <v>9</v>
      </c>
      <c r="I39" s="9" t="s">
        <v>45</v>
      </c>
      <c r="J39" s="9">
        <v>500</v>
      </c>
      <c r="K39" s="9">
        <v>0.8</v>
      </c>
      <c r="L39" s="21"/>
      <c r="M39" s="21"/>
      <c r="N39" s="21"/>
      <c r="O39" s="21"/>
      <c r="P39" s="22"/>
      <c r="Q39" s="22"/>
      <c r="R39" s="22"/>
      <c r="S39" s="22"/>
      <c r="T39" s="22"/>
      <c r="U39" s="21"/>
      <c r="V39" s="21"/>
      <c r="W39" s="21"/>
      <c r="X39" s="23"/>
      <c r="Y39" s="22"/>
      <c r="Z39" s="24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P39" s="9" t="e">
        <f t="shared" si="10"/>
        <v>#DIV/0!</v>
      </c>
      <c r="AQ39" s="9" t="e">
        <f t="shared" si="11"/>
        <v>#DIV/0!</v>
      </c>
      <c r="AR39" s="9" t="e">
        <f t="shared" si="12"/>
        <v>#DIV/0!</v>
      </c>
      <c r="AS39" s="9" t="e">
        <f t="shared" si="13"/>
        <v>#DIV/0!</v>
      </c>
      <c r="AT39" s="9" t="e">
        <f t="shared" si="14"/>
        <v>#DIV/0!</v>
      </c>
      <c r="AU39" s="9" t="e">
        <f t="shared" si="15"/>
        <v>#DIV/0!</v>
      </c>
      <c r="AV39" s="9" t="e">
        <f t="shared" si="16"/>
        <v>#DIV/0!</v>
      </c>
    </row>
    <row r="40" spans="1:48" ht="15.75">
      <c r="A40">
        <f t="shared" si="17"/>
        <v>88</v>
      </c>
      <c r="B40" s="9">
        <v>2020</v>
      </c>
      <c r="C40" s="9" t="s">
        <v>89</v>
      </c>
      <c r="D40" s="9" t="s">
        <v>5</v>
      </c>
      <c r="E40" s="7" t="s">
        <v>6</v>
      </c>
      <c r="F40" s="20" t="s">
        <v>84</v>
      </c>
      <c r="G40" s="7" t="s">
        <v>8</v>
      </c>
      <c r="H40" s="7" t="s">
        <v>9</v>
      </c>
      <c r="I40" s="9" t="s">
        <v>45</v>
      </c>
      <c r="J40" s="9">
        <v>500</v>
      </c>
      <c r="K40" s="9">
        <v>0.8</v>
      </c>
      <c r="L40" s="21"/>
      <c r="M40" s="21"/>
      <c r="N40" s="21"/>
      <c r="O40" s="21"/>
      <c r="P40" s="22"/>
      <c r="Q40" s="22"/>
      <c r="R40" s="22"/>
      <c r="S40" s="22"/>
      <c r="T40" s="22"/>
      <c r="U40" s="21"/>
      <c r="V40" s="21"/>
      <c r="W40" s="21"/>
      <c r="X40" s="23"/>
      <c r="Y40" s="22"/>
      <c r="Z40" s="24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P40" s="9" t="e">
        <f t="shared" si="10"/>
        <v>#DIV/0!</v>
      </c>
      <c r="AQ40" s="9" t="e">
        <f t="shared" si="11"/>
        <v>#DIV/0!</v>
      </c>
      <c r="AR40" s="9" t="e">
        <f t="shared" si="12"/>
        <v>#DIV/0!</v>
      </c>
      <c r="AS40" s="9" t="e">
        <f t="shared" si="13"/>
        <v>#DIV/0!</v>
      </c>
      <c r="AT40" s="9" t="e">
        <f t="shared" si="14"/>
        <v>#DIV/0!</v>
      </c>
      <c r="AU40" s="9" t="e">
        <f t="shared" si="15"/>
        <v>#DIV/0!</v>
      </c>
      <c r="AV40" s="9" t="e">
        <f t="shared" si="16"/>
        <v>#DIV/0!</v>
      </c>
    </row>
    <row r="41" spans="1:48" ht="15.75">
      <c r="A41">
        <f t="shared" si="17"/>
        <v>89</v>
      </c>
      <c r="B41" s="9">
        <v>2020</v>
      </c>
      <c r="C41" s="9" t="s">
        <v>89</v>
      </c>
      <c r="D41" s="9" t="s">
        <v>5</v>
      </c>
      <c r="E41" s="7" t="s">
        <v>6</v>
      </c>
      <c r="F41" s="20" t="s">
        <v>85</v>
      </c>
      <c r="G41" s="7" t="s">
        <v>8</v>
      </c>
      <c r="H41" s="7" t="s">
        <v>9</v>
      </c>
      <c r="I41" s="9" t="s">
        <v>45</v>
      </c>
      <c r="J41" s="9">
        <v>500</v>
      </c>
      <c r="K41" s="9">
        <v>0.8</v>
      </c>
      <c r="L41" s="21"/>
      <c r="M41" s="21"/>
      <c r="N41" s="21"/>
      <c r="O41" s="21"/>
      <c r="P41" s="22"/>
      <c r="Q41" s="22"/>
      <c r="R41" s="22"/>
      <c r="S41" s="22"/>
      <c r="T41" s="22"/>
      <c r="U41" s="21"/>
      <c r="V41" s="21"/>
      <c r="W41" s="21"/>
      <c r="X41" s="23"/>
      <c r="Y41" s="22"/>
      <c r="Z41" s="24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P41" s="9" t="e">
        <f t="shared" si="10"/>
        <v>#DIV/0!</v>
      </c>
      <c r="AQ41" s="9" t="e">
        <f t="shared" si="11"/>
        <v>#DIV/0!</v>
      </c>
      <c r="AR41" s="9" t="e">
        <f t="shared" si="12"/>
        <v>#DIV/0!</v>
      </c>
      <c r="AS41" s="9" t="e">
        <f t="shared" si="13"/>
        <v>#DIV/0!</v>
      </c>
      <c r="AT41" s="9" t="e">
        <f t="shared" si="14"/>
        <v>#DIV/0!</v>
      </c>
      <c r="AU41" s="9" t="e">
        <f t="shared" si="15"/>
        <v>#DIV/0!</v>
      </c>
      <c r="AV41" s="9" t="e">
        <f t="shared" si="16"/>
        <v>#DIV/0!</v>
      </c>
    </row>
    <row r="42" spans="1:48" ht="15.75">
      <c r="A42">
        <f t="shared" si="17"/>
        <v>90</v>
      </c>
      <c r="B42" s="9">
        <v>2020</v>
      </c>
      <c r="C42" s="9" t="s">
        <v>89</v>
      </c>
      <c r="D42" s="9" t="s">
        <v>5</v>
      </c>
      <c r="E42" s="7" t="s">
        <v>6</v>
      </c>
      <c r="F42" s="7" t="s">
        <v>86</v>
      </c>
      <c r="G42" s="7" t="s">
        <v>8</v>
      </c>
      <c r="H42" s="7" t="s">
        <v>9</v>
      </c>
      <c r="I42" s="9" t="s">
        <v>45</v>
      </c>
      <c r="J42" s="9">
        <v>500</v>
      </c>
      <c r="K42" s="9">
        <v>0.8</v>
      </c>
      <c r="L42" s="21"/>
      <c r="M42" s="21"/>
      <c r="N42" s="21"/>
      <c r="O42" s="21"/>
      <c r="P42" s="22"/>
      <c r="Q42" s="22"/>
      <c r="R42" s="22"/>
      <c r="S42" s="22"/>
      <c r="T42" s="22"/>
      <c r="U42" s="21"/>
      <c r="V42" s="21"/>
      <c r="W42" s="21"/>
      <c r="X42" s="23"/>
      <c r="Y42" s="22"/>
      <c r="Z42" s="24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P42" s="9" t="e">
        <f t="shared" si="10"/>
        <v>#DIV/0!</v>
      </c>
      <c r="AQ42" s="9" t="e">
        <f t="shared" si="11"/>
        <v>#DIV/0!</v>
      </c>
      <c r="AR42" s="9" t="e">
        <f t="shared" si="12"/>
        <v>#DIV/0!</v>
      </c>
      <c r="AS42" s="9" t="e">
        <f t="shared" si="13"/>
        <v>#DIV/0!</v>
      </c>
      <c r="AT42" s="9" t="e">
        <f t="shared" si="14"/>
        <v>#DIV/0!</v>
      </c>
      <c r="AU42" s="9" t="e">
        <f t="shared" si="15"/>
        <v>#DIV/0!</v>
      </c>
      <c r="AV42" s="9" t="e">
        <f t="shared" si="16"/>
        <v>#DIV/0!</v>
      </c>
    </row>
    <row r="43" spans="1:48" ht="15.75">
      <c r="A43">
        <f t="shared" si="17"/>
        <v>91</v>
      </c>
      <c r="B43" s="9">
        <v>2020</v>
      </c>
      <c r="C43" s="9" t="s">
        <v>89</v>
      </c>
      <c r="D43" s="9" t="s">
        <v>5</v>
      </c>
      <c r="E43" s="7" t="s">
        <v>6</v>
      </c>
      <c r="F43" s="20" t="s">
        <v>87</v>
      </c>
      <c r="G43" s="7" t="s">
        <v>8</v>
      </c>
      <c r="H43" s="7" t="s">
        <v>9</v>
      </c>
      <c r="I43" s="9" t="s">
        <v>45</v>
      </c>
      <c r="J43" s="9">
        <v>500</v>
      </c>
      <c r="K43" s="9">
        <v>0.8</v>
      </c>
      <c r="L43" s="21"/>
      <c r="M43" s="21"/>
      <c r="N43" s="21"/>
      <c r="O43" s="21"/>
      <c r="P43" s="22"/>
      <c r="Q43" s="22"/>
      <c r="R43" s="22"/>
      <c r="S43" s="22"/>
      <c r="T43" s="22"/>
      <c r="U43" s="21"/>
      <c r="V43" s="21"/>
      <c r="W43" s="21"/>
      <c r="X43" s="23"/>
      <c r="Y43" s="22"/>
      <c r="Z43" s="24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P43" s="9" t="e">
        <f t="shared" si="10"/>
        <v>#DIV/0!</v>
      </c>
      <c r="AQ43" s="9" t="e">
        <f t="shared" si="11"/>
        <v>#DIV/0!</v>
      </c>
      <c r="AR43" s="9" t="e">
        <f t="shared" si="12"/>
        <v>#DIV/0!</v>
      </c>
      <c r="AS43" s="9" t="e">
        <f t="shared" si="13"/>
        <v>#DIV/0!</v>
      </c>
      <c r="AT43" s="9" t="e">
        <f t="shared" si="14"/>
        <v>#DIV/0!</v>
      </c>
      <c r="AU43" s="9" t="e">
        <f t="shared" si="15"/>
        <v>#DIV/0!</v>
      </c>
      <c r="AV43" s="9" t="e">
        <f t="shared" si="16"/>
        <v>#DIV/0!</v>
      </c>
    </row>
    <row r="44" spans="1:48" ht="15.75">
      <c r="A44">
        <f t="shared" si="17"/>
        <v>92</v>
      </c>
      <c r="B44" s="9">
        <v>2020</v>
      </c>
      <c r="C44" s="9" t="s">
        <v>89</v>
      </c>
      <c r="D44" s="9" t="s">
        <v>88</v>
      </c>
      <c r="E44" s="7" t="s">
        <v>6</v>
      </c>
      <c r="F44" s="20" t="s">
        <v>7</v>
      </c>
      <c r="G44" s="7" t="s">
        <v>8</v>
      </c>
      <c r="H44" s="7" t="s">
        <v>9</v>
      </c>
      <c r="I44" s="9" t="s">
        <v>45</v>
      </c>
      <c r="J44" s="9">
        <v>500</v>
      </c>
      <c r="K44" s="9">
        <v>0.8</v>
      </c>
      <c r="L44" s="21"/>
      <c r="M44" s="21"/>
      <c r="N44" s="21"/>
      <c r="O44" s="21"/>
      <c r="P44" s="22"/>
      <c r="Q44" s="22"/>
      <c r="R44" s="22"/>
      <c r="S44" s="22"/>
      <c r="T44" s="22"/>
      <c r="U44" s="21"/>
      <c r="V44" s="21"/>
      <c r="W44" s="21"/>
      <c r="X44" s="23"/>
      <c r="Y44" s="22"/>
      <c r="Z44" s="24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P44" s="9" t="e">
        <f t="shared" si="10"/>
        <v>#DIV/0!</v>
      </c>
      <c r="AQ44" s="9" t="e">
        <f t="shared" si="11"/>
        <v>#DIV/0!</v>
      </c>
      <c r="AR44" s="9" t="e">
        <f t="shared" si="12"/>
        <v>#DIV/0!</v>
      </c>
      <c r="AS44" s="9" t="e">
        <f t="shared" si="13"/>
        <v>#DIV/0!</v>
      </c>
      <c r="AT44" s="9" t="e">
        <f t="shared" si="14"/>
        <v>#DIV/0!</v>
      </c>
      <c r="AU44" s="9" t="e">
        <f t="shared" si="15"/>
        <v>#DIV/0!</v>
      </c>
      <c r="AV44" s="9" t="e">
        <f t="shared" si="16"/>
        <v>#DIV/0!</v>
      </c>
    </row>
    <row r="45" spans="1:48" ht="15.75">
      <c r="A45">
        <f t="shared" si="17"/>
        <v>93</v>
      </c>
      <c r="B45" s="9">
        <v>2020</v>
      </c>
      <c r="C45" s="9" t="s">
        <v>89</v>
      </c>
      <c r="D45" s="9" t="s">
        <v>88</v>
      </c>
      <c r="E45" s="7" t="s">
        <v>6</v>
      </c>
      <c r="F45" s="20" t="s">
        <v>76</v>
      </c>
      <c r="G45" s="7" t="s">
        <v>8</v>
      </c>
      <c r="H45" s="7" t="s">
        <v>9</v>
      </c>
      <c r="I45" s="9" t="s">
        <v>45</v>
      </c>
      <c r="J45" s="9">
        <v>500</v>
      </c>
      <c r="K45" s="9">
        <v>0.8</v>
      </c>
      <c r="L45" s="21"/>
      <c r="M45" s="21"/>
      <c r="N45" s="21"/>
      <c r="O45" s="21"/>
      <c r="P45" s="22"/>
      <c r="Q45" s="22"/>
      <c r="R45" s="22"/>
      <c r="S45" s="22"/>
      <c r="T45" s="22"/>
      <c r="U45" s="21"/>
      <c r="V45" s="21"/>
      <c r="W45" s="21"/>
      <c r="X45" s="23"/>
      <c r="Y45" s="22"/>
      <c r="Z45" s="24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P45" s="9" t="e">
        <f t="shared" si="10"/>
        <v>#DIV/0!</v>
      </c>
      <c r="AQ45" s="9" t="e">
        <f t="shared" si="11"/>
        <v>#DIV/0!</v>
      </c>
      <c r="AR45" s="9" t="e">
        <f t="shared" si="12"/>
        <v>#DIV/0!</v>
      </c>
      <c r="AS45" s="9" t="e">
        <f t="shared" si="13"/>
        <v>#DIV/0!</v>
      </c>
      <c r="AT45" s="9" t="e">
        <f t="shared" si="14"/>
        <v>#DIV/0!</v>
      </c>
      <c r="AU45" s="9" t="e">
        <f t="shared" si="15"/>
        <v>#DIV/0!</v>
      </c>
      <c r="AV45" s="9" t="e">
        <f t="shared" si="16"/>
        <v>#DIV/0!</v>
      </c>
    </row>
    <row r="46" spans="1:48" ht="15.75">
      <c r="A46">
        <f t="shared" si="17"/>
        <v>94</v>
      </c>
      <c r="B46" s="9">
        <v>2020</v>
      </c>
      <c r="C46" s="9" t="s">
        <v>89</v>
      </c>
      <c r="D46" s="9" t="s">
        <v>88</v>
      </c>
      <c r="E46" s="7" t="s">
        <v>6</v>
      </c>
      <c r="F46" s="20" t="s">
        <v>77</v>
      </c>
      <c r="G46" s="7" t="s">
        <v>8</v>
      </c>
      <c r="H46" s="7" t="s">
        <v>9</v>
      </c>
      <c r="I46" s="9" t="s">
        <v>45</v>
      </c>
      <c r="J46" s="9">
        <v>500</v>
      </c>
      <c r="K46" s="9">
        <v>0.8</v>
      </c>
      <c r="L46" s="21"/>
      <c r="M46" s="21"/>
      <c r="N46" s="21"/>
      <c r="O46" s="21"/>
      <c r="P46" s="22"/>
      <c r="Q46" s="22"/>
      <c r="R46" s="22"/>
      <c r="S46" s="22"/>
      <c r="T46" s="22"/>
      <c r="U46" s="21"/>
      <c r="V46" s="21"/>
      <c r="W46" s="21"/>
      <c r="X46" s="23"/>
      <c r="Y46" s="22"/>
      <c r="Z46" s="24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P46" s="9" t="e">
        <f t="shared" si="10"/>
        <v>#DIV/0!</v>
      </c>
      <c r="AQ46" s="9" t="e">
        <f t="shared" si="11"/>
        <v>#DIV/0!</v>
      </c>
      <c r="AR46" s="9" t="e">
        <f t="shared" si="12"/>
        <v>#DIV/0!</v>
      </c>
      <c r="AS46" s="9" t="e">
        <f t="shared" si="13"/>
        <v>#DIV/0!</v>
      </c>
      <c r="AT46" s="9" t="e">
        <f t="shared" si="14"/>
        <v>#DIV/0!</v>
      </c>
      <c r="AU46" s="9" t="e">
        <f t="shared" si="15"/>
        <v>#DIV/0!</v>
      </c>
      <c r="AV46" s="9" t="e">
        <f t="shared" si="16"/>
        <v>#DIV/0!</v>
      </c>
    </row>
    <row r="47" spans="1:48" ht="15.75">
      <c r="A47">
        <f t="shared" si="17"/>
        <v>95</v>
      </c>
      <c r="B47" s="9">
        <v>2020</v>
      </c>
      <c r="C47" s="9" t="s">
        <v>89</v>
      </c>
      <c r="D47" s="9" t="s">
        <v>88</v>
      </c>
      <c r="E47" s="7" t="s">
        <v>6</v>
      </c>
      <c r="F47" s="20" t="s">
        <v>78</v>
      </c>
      <c r="G47" s="7" t="s">
        <v>8</v>
      </c>
      <c r="H47" s="7" t="s">
        <v>9</v>
      </c>
      <c r="I47" s="9" t="s">
        <v>45</v>
      </c>
      <c r="J47" s="9">
        <v>500</v>
      </c>
      <c r="K47" s="9">
        <v>0.8</v>
      </c>
      <c r="L47" s="21"/>
      <c r="M47" s="21"/>
      <c r="N47" s="21"/>
      <c r="O47" s="21"/>
      <c r="P47" s="22"/>
      <c r="Q47" s="22"/>
      <c r="R47" s="22"/>
      <c r="S47" s="22"/>
      <c r="T47" s="22"/>
      <c r="U47" s="21"/>
      <c r="V47" s="21"/>
      <c r="W47" s="21"/>
      <c r="X47" s="23"/>
      <c r="Y47" s="22"/>
      <c r="Z47" s="24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P47" s="9" t="e">
        <f t="shared" si="10"/>
        <v>#DIV/0!</v>
      </c>
      <c r="AQ47" s="9" t="e">
        <f t="shared" si="11"/>
        <v>#DIV/0!</v>
      </c>
      <c r="AR47" s="9" t="e">
        <f t="shared" si="12"/>
        <v>#DIV/0!</v>
      </c>
      <c r="AS47" s="9" t="e">
        <f t="shared" si="13"/>
        <v>#DIV/0!</v>
      </c>
      <c r="AT47" s="9" t="e">
        <f t="shared" si="14"/>
        <v>#DIV/0!</v>
      </c>
      <c r="AU47" s="9" t="e">
        <f t="shared" si="15"/>
        <v>#DIV/0!</v>
      </c>
      <c r="AV47" s="9" t="e">
        <f t="shared" si="16"/>
        <v>#DIV/0!</v>
      </c>
    </row>
    <row r="48" spans="1:48" ht="15.75">
      <c r="A48">
        <f t="shared" si="17"/>
        <v>96</v>
      </c>
      <c r="B48" s="9">
        <v>2020</v>
      </c>
      <c r="C48" s="9" t="s">
        <v>89</v>
      </c>
      <c r="D48" s="9" t="s">
        <v>88</v>
      </c>
      <c r="E48" s="7" t="s">
        <v>6</v>
      </c>
      <c r="F48" s="20" t="s">
        <v>79</v>
      </c>
      <c r="G48" s="7" t="s">
        <v>8</v>
      </c>
      <c r="H48" s="7" t="s">
        <v>9</v>
      </c>
      <c r="I48" s="9" t="s">
        <v>45</v>
      </c>
      <c r="J48" s="9">
        <v>500</v>
      </c>
      <c r="K48" s="9">
        <v>0.8</v>
      </c>
      <c r="L48" s="21"/>
      <c r="M48" s="21"/>
      <c r="N48" s="21"/>
      <c r="O48" s="21"/>
      <c r="P48" s="22"/>
      <c r="Q48" s="22"/>
      <c r="R48" s="22"/>
      <c r="S48" s="22"/>
      <c r="T48" s="22"/>
      <c r="U48" s="21"/>
      <c r="V48" s="21"/>
      <c r="W48" s="21"/>
      <c r="X48" s="23"/>
      <c r="Y48" s="22"/>
      <c r="Z48" s="24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P48" s="9" t="e">
        <f t="shared" si="10"/>
        <v>#DIV/0!</v>
      </c>
      <c r="AQ48" s="9" t="e">
        <f t="shared" si="11"/>
        <v>#DIV/0!</v>
      </c>
      <c r="AR48" s="9" t="e">
        <f t="shared" si="12"/>
        <v>#DIV/0!</v>
      </c>
      <c r="AS48" s="9" t="e">
        <f t="shared" si="13"/>
        <v>#DIV/0!</v>
      </c>
      <c r="AT48" s="9" t="e">
        <f t="shared" si="14"/>
        <v>#DIV/0!</v>
      </c>
      <c r="AU48" s="9" t="e">
        <f t="shared" si="15"/>
        <v>#DIV/0!</v>
      </c>
      <c r="AV48" s="9" t="e">
        <f t="shared" si="16"/>
        <v>#DIV/0!</v>
      </c>
    </row>
    <row r="49" spans="1:48" ht="15.75">
      <c r="A49">
        <f t="shared" si="17"/>
        <v>97</v>
      </c>
      <c r="B49" s="9">
        <v>2020</v>
      </c>
      <c r="C49" s="9" t="s">
        <v>89</v>
      </c>
      <c r="D49" s="9" t="s">
        <v>88</v>
      </c>
      <c r="E49" s="7" t="s">
        <v>6</v>
      </c>
      <c r="F49" s="20" t="s">
        <v>80</v>
      </c>
      <c r="G49" s="7" t="s">
        <v>8</v>
      </c>
      <c r="H49" s="7" t="s">
        <v>9</v>
      </c>
      <c r="I49" s="9" t="s">
        <v>45</v>
      </c>
      <c r="J49" s="9">
        <v>500</v>
      </c>
      <c r="K49" s="9">
        <v>0.8</v>
      </c>
      <c r="L49" s="21"/>
      <c r="M49" s="21"/>
      <c r="N49" s="21"/>
      <c r="O49" s="21"/>
      <c r="P49" s="22"/>
      <c r="Q49" s="22"/>
      <c r="R49" s="22"/>
      <c r="S49" s="22"/>
      <c r="T49" s="22"/>
      <c r="U49" s="21"/>
      <c r="V49" s="21"/>
      <c r="W49" s="21"/>
      <c r="X49" s="23"/>
      <c r="Y49" s="22"/>
      <c r="Z49" s="24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P49" s="9" t="e">
        <f t="shared" si="10"/>
        <v>#DIV/0!</v>
      </c>
      <c r="AQ49" s="9" t="e">
        <f t="shared" si="11"/>
        <v>#DIV/0!</v>
      </c>
      <c r="AR49" s="9" t="e">
        <f t="shared" si="12"/>
        <v>#DIV/0!</v>
      </c>
      <c r="AS49" s="9" t="e">
        <f t="shared" si="13"/>
        <v>#DIV/0!</v>
      </c>
      <c r="AT49" s="9" t="e">
        <f t="shared" si="14"/>
        <v>#DIV/0!</v>
      </c>
      <c r="AU49" s="9" t="e">
        <f t="shared" si="15"/>
        <v>#DIV/0!</v>
      </c>
      <c r="AV49" s="9" t="e">
        <f t="shared" si="16"/>
        <v>#DIV/0!</v>
      </c>
    </row>
    <row r="50" spans="1:48" ht="15.75">
      <c r="A50">
        <f t="shared" si="17"/>
        <v>98</v>
      </c>
      <c r="B50" s="9">
        <v>2020</v>
      </c>
      <c r="C50" s="9" t="s">
        <v>89</v>
      </c>
      <c r="D50" s="9" t="s">
        <v>88</v>
      </c>
      <c r="E50" s="7" t="s">
        <v>6</v>
      </c>
      <c r="F50" s="20" t="s">
        <v>81</v>
      </c>
      <c r="G50" s="7" t="s">
        <v>8</v>
      </c>
      <c r="H50" s="7" t="s">
        <v>9</v>
      </c>
      <c r="I50" s="9" t="s">
        <v>45</v>
      </c>
      <c r="J50" s="9">
        <v>500</v>
      </c>
      <c r="K50" s="9">
        <v>0.8</v>
      </c>
      <c r="L50" s="21"/>
      <c r="M50" s="21"/>
      <c r="N50" s="21"/>
      <c r="O50" s="21"/>
      <c r="P50" s="22"/>
      <c r="Q50" s="22"/>
      <c r="R50" s="22"/>
      <c r="S50" s="22"/>
      <c r="T50" s="22"/>
      <c r="U50" s="21"/>
      <c r="V50" s="21"/>
      <c r="W50" s="21"/>
      <c r="X50" s="23"/>
      <c r="Y50" s="22"/>
      <c r="Z50" s="24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P50" s="9" t="e">
        <f t="shared" si="10"/>
        <v>#DIV/0!</v>
      </c>
      <c r="AQ50" s="9" t="e">
        <f t="shared" si="11"/>
        <v>#DIV/0!</v>
      </c>
      <c r="AR50" s="9" t="e">
        <f t="shared" si="12"/>
        <v>#DIV/0!</v>
      </c>
      <c r="AS50" s="9" t="e">
        <f t="shared" si="13"/>
        <v>#DIV/0!</v>
      </c>
      <c r="AT50" s="9" t="e">
        <f t="shared" si="14"/>
        <v>#DIV/0!</v>
      </c>
      <c r="AU50" s="9" t="e">
        <f t="shared" si="15"/>
        <v>#DIV/0!</v>
      </c>
      <c r="AV50" s="9" t="e">
        <f t="shared" si="16"/>
        <v>#DIV/0!</v>
      </c>
    </row>
    <row r="51" spans="1:48" ht="15.75">
      <c r="A51">
        <f t="shared" si="17"/>
        <v>99</v>
      </c>
      <c r="B51" s="9">
        <v>2020</v>
      </c>
      <c r="C51" s="9" t="s">
        <v>89</v>
      </c>
      <c r="D51" s="9" t="s">
        <v>88</v>
      </c>
      <c r="E51" s="7" t="s">
        <v>6</v>
      </c>
      <c r="F51" s="20" t="s">
        <v>82</v>
      </c>
      <c r="G51" s="7" t="s">
        <v>8</v>
      </c>
      <c r="H51" s="7" t="s">
        <v>9</v>
      </c>
      <c r="I51" s="9" t="s">
        <v>45</v>
      </c>
      <c r="J51" s="9">
        <v>500</v>
      </c>
      <c r="K51" s="9">
        <v>0.8</v>
      </c>
      <c r="L51" s="21"/>
      <c r="M51" s="21"/>
      <c r="N51" s="21"/>
      <c r="O51" s="21"/>
      <c r="P51" s="22"/>
      <c r="Q51" s="22"/>
      <c r="R51" s="22"/>
      <c r="S51" s="22"/>
      <c r="T51" s="22"/>
      <c r="U51" s="21"/>
      <c r="V51" s="21"/>
      <c r="W51" s="21"/>
      <c r="X51" s="23"/>
      <c r="Y51" s="22"/>
      <c r="Z51" s="24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P51" s="9" t="e">
        <f t="shared" si="10"/>
        <v>#DIV/0!</v>
      </c>
      <c r="AQ51" s="9" t="e">
        <f t="shared" si="11"/>
        <v>#DIV/0!</v>
      </c>
      <c r="AR51" s="9" t="e">
        <f t="shared" si="12"/>
        <v>#DIV/0!</v>
      </c>
      <c r="AS51" s="9" t="e">
        <f t="shared" si="13"/>
        <v>#DIV/0!</v>
      </c>
      <c r="AT51" s="9" t="e">
        <f t="shared" si="14"/>
        <v>#DIV/0!</v>
      </c>
      <c r="AU51" s="9" t="e">
        <f t="shared" si="15"/>
        <v>#DIV/0!</v>
      </c>
      <c r="AV51" s="9" t="e">
        <f t="shared" si="16"/>
        <v>#DIV/0!</v>
      </c>
    </row>
    <row r="52" spans="1:48" ht="15.75">
      <c r="A52">
        <f t="shared" si="17"/>
        <v>100</v>
      </c>
      <c r="B52" s="9">
        <v>2020</v>
      </c>
      <c r="C52" s="9" t="s">
        <v>89</v>
      </c>
      <c r="D52" s="9" t="s">
        <v>88</v>
      </c>
      <c r="E52" s="7" t="s">
        <v>6</v>
      </c>
      <c r="F52" s="20" t="s">
        <v>83</v>
      </c>
      <c r="G52" s="7" t="s">
        <v>8</v>
      </c>
      <c r="H52" s="7" t="s">
        <v>9</v>
      </c>
      <c r="I52" s="9" t="s">
        <v>45</v>
      </c>
      <c r="J52" s="9">
        <v>500</v>
      </c>
      <c r="K52" s="9">
        <v>0.8</v>
      </c>
      <c r="L52" s="21"/>
      <c r="M52" s="21"/>
      <c r="N52" s="21"/>
      <c r="O52" s="21"/>
      <c r="P52" s="22"/>
      <c r="Q52" s="22"/>
      <c r="R52" s="22"/>
      <c r="S52" s="22"/>
      <c r="T52" s="22"/>
      <c r="U52" s="21"/>
      <c r="V52" s="21"/>
      <c r="W52" s="21"/>
      <c r="X52" s="23"/>
      <c r="Y52" s="22"/>
      <c r="Z52" s="24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P52" s="9" t="e">
        <f t="shared" si="10"/>
        <v>#DIV/0!</v>
      </c>
      <c r="AQ52" s="9" t="e">
        <f t="shared" si="11"/>
        <v>#DIV/0!</v>
      </c>
      <c r="AR52" s="9" t="e">
        <f t="shared" si="12"/>
        <v>#DIV/0!</v>
      </c>
      <c r="AS52" s="9" t="e">
        <f t="shared" si="13"/>
        <v>#DIV/0!</v>
      </c>
      <c r="AT52" s="9" t="e">
        <f t="shared" si="14"/>
        <v>#DIV/0!</v>
      </c>
      <c r="AU52" s="9" t="e">
        <f t="shared" si="15"/>
        <v>#DIV/0!</v>
      </c>
      <c r="AV52" s="9" t="e">
        <f t="shared" si="16"/>
        <v>#DIV/0!</v>
      </c>
    </row>
    <row r="53" spans="1:48" ht="15.75">
      <c r="A53">
        <f t="shared" si="17"/>
        <v>101</v>
      </c>
      <c r="B53" s="9">
        <v>2020</v>
      </c>
      <c r="C53" s="9" t="s">
        <v>89</v>
      </c>
      <c r="D53" s="9" t="s">
        <v>88</v>
      </c>
      <c r="E53" s="7" t="s">
        <v>6</v>
      </c>
      <c r="F53" s="20" t="s">
        <v>84</v>
      </c>
      <c r="G53" s="7" t="s">
        <v>8</v>
      </c>
      <c r="H53" s="7" t="s">
        <v>9</v>
      </c>
      <c r="I53" s="9" t="s">
        <v>45</v>
      </c>
      <c r="J53" s="9">
        <v>500</v>
      </c>
      <c r="K53" s="9">
        <v>0.8</v>
      </c>
      <c r="L53" s="21"/>
      <c r="M53" s="21"/>
      <c r="N53" s="21"/>
      <c r="O53" s="21"/>
      <c r="P53" s="22"/>
      <c r="Q53" s="22"/>
      <c r="R53" s="22"/>
      <c r="S53" s="22"/>
      <c r="T53" s="22"/>
      <c r="U53" s="21"/>
      <c r="V53" s="21"/>
      <c r="W53" s="21"/>
      <c r="X53" s="23"/>
      <c r="Y53" s="22"/>
      <c r="Z53" s="24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P53" s="9" t="e">
        <f t="shared" si="10"/>
        <v>#DIV/0!</v>
      </c>
      <c r="AQ53" s="9" t="e">
        <f t="shared" si="11"/>
        <v>#DIV/0!</v>
      </c>
      <c r="AR53" s="9" t="e">
        <f t="shared" si="12"/>
        <v>#DIV/0!</v>
      </c>
      <c r="AS53" s="9" t="e">
        <f t="shared" si="13"/>
        <v>#DIV/0!</v>
      </c>
      <c r="AT53" s="9" t="e">
        <f t="shared" si="14"/>
        <v>#DIV/0!</v>
      </c>
      <c r="AU53" s="9" t="e">
        <f t="shared" si="15"/>
        <v>#DIV/0!</v>
      </c>
      <c r="AV53" s="9" t="e">
        <f t="shared" si="16"/>
        <v>#DIV/0!</v>
      </c>
    </row>
    <row r="54" spans="1:48" ht="15.75">
      <c r="A54">
        <f t="shared" si="17"/>
        <v>102</v>
      </c>
      <c r="B54" s="9">
        <v>2020</v>
      </c>
      <c r="C54" s="9" t="s">
        <v>89</v>
      </c>
      <c r="D54" s="9" t="s">
        <v>88</v>
      </c>
      <c r="E54" s="7" t="s">
        <v>6</v>
      </c>
      <c r="F54" s="20" t="s">
        <v>85</v>
      </c>
      <c r="G54" s="7" t="s">
        <v>8</v>
      </c>
      <c r="H54" s="7" t="s">
        <v>9</v>
      </c>
      <c r="I54" s="9" t="s">
        <v>45</v>
      </c>
      <c r="J54" s="9">
        <v>500</v>
      </c>
      <c r="K54" s="9">
        <v>0.8</v>
      </c>
      <c r="L54" s="21"/>
      <c r="M54" s="21"/>
      <c r="N54" s="21"/>
      <c r="O54" s="21"/>
      <c r="P54" s="22"/>
      <c r="Q54" s="22"/>
      <c r="R54" s="22"/>
      <c r="S54" s="22"/>
      <c r="T54" s="22"/>
      <c r="U54" s="21"/>
      <c r="V54" s="21"/>
      <c r="W54" s="21"/>
      <c r="X54" s="23"/>
      <c r="Y54" s="22"/>
      <c r="Z54" s="24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P54" s="9" t="e">
        <f t="shared" si="10"/>
        <v>#DIV/0!</v>
      </c>
      <c r="AQ54" s="9" t="e">
        <f t="shared" si="11"/>
        <v>#DIV/0!</v>
      </c>
      <c r="AR54" s="9" t="e">
        <f t="shared" si="12"/>
        <v>#DIV/0!</v>
      </c>
      <c r="AS54" s="9" t="e">
        <f t="shared" si="13"/>
        <v>#DIV/0!</v>
      </c>
      <c r="AT54" s="9" t="e">
        <f t="shared" si="14"/>
        <v>#DIV/0!</v>
      </c>
      <c r="AU54" s="9" t="e">
        <f t="shared" si="15"/>
        <v>#DIV/0!</v>
      </c>
      <c r="AV54" s="9" t="e">
        <f t="shared" si="16"/>
        <v>#DIV/0!</v>
      </c>
    </row>
    <row r="55" spans="1:48" ht="15.75">
      <c r="A55">
        <f t="shared" si="17"/>
        <v>103</v>
      </c>
      <c r="B55" s="9">
        <v>2020</v>
      </c>
      <c r="C55" s="9" t="s">
        <v>89</v>
      </c>
      <c r="D55" s="9" t="s">
        <v>88</v>
      </c>
      <c r="E55" s="7" t="s">
        <v>6</v>
      </c>
      <c r="F55" s="20" t="s">
        <v>86</v>
      </c>
      <c r="G55" s="7" t="s">
        <v>8</v>
      </c>
      <c r="H55" s="7" t="s">
        <v>9</v>
      </c>
      <c r="I55" s="9" t="s">
        <v>45</v>
      </c>
      <c r="J55" s="9">
        <v>500</v>
      </c>
      <c r="K55" s="9">
        <v>0.8</v>
      </c>
      <c r="L55" s="21"/>
      <c r="M55" s="21"/>
      <c r="N55" s="21"/>
      <c r="O55" s="21"/>
      <c r="P55" s="22"/>
      <c r="Q55" s="22"/>
      <c r="R55" s="22"/>
      <c r="S55" s="22"/>
      <c r="T55" s="22"/>
      <c r="U55" s="21"/>
      <c r="V55" s="21"/>
      <c r="W55" s="21"/>
      <c r="X55" s="23"/>
      <c r="Y55" s="22"/>
      <c r="Z55" s="24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P55" s="9" t="e">
        <f t="shared" si="10"/>
        <v>#DIV/0!</v>
      </c>
      <c r="AQ55" s="9" t="e">
        <f t="shared" si="11"/>
        <v>#DIV/0!</v>
      </c>
      <c r="AR55" s="9" t="e">
        <f t="shared" si="12"/>
        <v>#DIV/0!</v>
      </c>
      <c r="AS55" s="9" t="e">
        <f t="shared" si="13"/>
        <v>#DIV/0!</v>
      </c>
      <c r="AT55" s="9" t="e">
        <f t="shared" si="14"/>
        <v>#DIV/0!</v>
      </c>
      <c r="AU55" s="9" t="e">
        <f t="shared" si="15"/>
        <v>#DIV/0!</v>
      </c>
      <c r="AV55" s="9" t="e">
        <f t="shared" si="16"/>
        <v>#DIV/0!</v>
      </c>
    </row>
    <row r="56" spans="1:48" ht="15.75">
      <c r="A56">
        <f t="shared" si="17"/>
        <v>104</v>
      </c>
      <c r="B56" s="9">
        <v>2020</v>
      </c>
      <c r="C56" s="9" t="s">
        <v>89</v>
      </c>
      <c r="D56" s="9" t="s">
        <v>88</v>
      </c>
      <c r="E56" s="7" t="s">
        <v>6</v>
      </c>
      <c r="F56" s="20" t="s">
        <v>87</v>
      </c>
      <c r="G56" s="7" t="s">
        <v>8</v>
      </c>
      <c r="H56" s="7" t="s">
        <v>9</v>
      </c>
      <c r="I56" s="9" t="s">
        <v>45</v>
      </c>
      <c r="J56" s="9">
        <v>500</v>
      </c>
      <c r="K56" s="9">
        <v>0.8</v>
      </c>
      <c r="L56" s="21"/>
      <c r="M56" s="21"/>
      <c r="N56" s="21"/>
      <c r="O56" s="21"/>
      <c r="P56" s="22"/>
      <c r="Q56" s="22"/>
      <c r="R56" s="22"/>
      <c r="S56" s="22"/>
      <c r="T56" s="22"/>
      <c r="U56" s="21"/>
      <c r="V56" s="21"/>
      <c r="W56" s="21"/>
      <c r="X56" s="23"/>
      <c r="Y56" s="22"/>
      <c r="Z56" s="24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P56" s="9" t="e">
        <f t="shared" si="10"/>
        <v>#DIV/0!</v>
      </c>
      <c r="AQ56" s="9" t="e">
        <f t="shared" si="11"/>
        <v>#DIV/0!</v>
      </c>
      <c r="AR56" s="9" t="e">
        <f t="shared" si="12"/>
        <v>#DIV/0!</v>
      </c>
      <c r="AS56" s="9" t="e">
        <f t="shared" si="13"/>
        <v>#DIV/0!</v>
      </c>
      <c r="AT56" s="9" t="e">
        <f t="shared" si="14"/>
        <v>#DIV/0!</v>
      </c>
      <c r="AU56" s="9" t="e">
        <f t="shared" si="15"/>
        <v>#DIV/0!</v>
      </c>
      <c r="AV56" s="9" t="e">
        <f t="shared" si="16"/>
        <v>#DIV/0!</v>
      </c>
    </row>
    <row r="83" spans="117:117">
      <c r="DM83" s="5"/>
    </row>
    <row r="84" spans="117:117">
      <c r="DM84" s="5"/>
    </row>
  </sheetData>
  <mergeCells count="4">
    <mergeCell ref="C2:D2"/>
    <mergeCell ref="F2:I2"/>
    <mergeCell ref="N2:T2"/>
    <mergeCell ref="U2:W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5"/>
  <sheetViews>
    <sheetView tabSelected="1" topLeftCell="A28" zoomScale="80" zoomScaleNormal="80" workbookViewId="0">
      <selection activeCell="F49" sqref="F49"/>
    </sheetView>
  </sheetViews>
  <sheetFormatPr defaultRowHeight="15"/>
  <cols>
    <col min="4" max="4" width="12.88671875" style="52" customWidth="1"/>
    <col min="5" max="5" width="7.6640625" bestFit="1" customWidth="1"/>
    <col min="6" max="6" width="13.21875" bestFit="1" customWidth="1"/>
    <col min="7" max="9" width="13.109375" style="40" customWidth="1"/>
    <col min="10" max="12" width="13.109375" style="2" customWidth="1"/>
    <col min="13" max="13" width="12" style="41" customWidth="1"/>
    <col min="14" max="15" width="12.5546875" style="41" customWidth="1"/>
    <col min="17" max="17" width="17.21875" bestFit="1" customWidth="1"/>
  </cols>
  <sheetData>
    <row r="1" spans="1:17">
      <c r="G1"/>
      <c r="H1"/>
      <c r="I1"/>
      <c r="J1"/>
      <c r="K1"/>
      <c r="L1"/>
      <c r="M1"/>
      <c r="N1"/>
      <c r="O1"/>
    </row>
    <row r="2" spans="1:17" ht="15.75">
      <c r="B2" s="1" t="s">
        <v>93</v>
      </c>
      <c r="E2" s="53" t="s">
        <v>102</v>
      </c>
      <c r="F2" s="53"/>
      <c r="G2"/>
      <c r="H2"/>
      <c r="I2"/>
      <c r="J2"/>
      <c r="K2"/>
      <c r="L2"/>
      <c r="M2"/>
      <c r="N2"/>
      <c r="O2"/>
    </row>
    <row r="3" spans="1:17" ht="15.75">
      <c r="B3" s="1"/>
      <c r="G3"/>
      <c r="H3"/>
      <c r="I3"/>
      <c r="J3"/>
      <c r="K3"/>
      <c r="L3"/>
      <c r="M3"/>
      <c r="N3"/>
      <c r="O3"/>
    </row>
    <row r="4" spans="1:17" ht="15.75">
      <c r="B4" t="s">
        <v>0</v>
      </c>
      <c r="C4" t="s">
        <v>98</v>
      </c>
      <c r="D4" s="52" t="s">
        <v>99</v>
      </c>
      <c r="E4" t="s">
        <v>100</v>
      </c>
      <c r="F4" t="s">
        <v>101</v>
      </c>
      <c r="G4" s="50" t="s">
        <v>7</v>
      </c>
      <c r="H4" s="50"/>
      <c r="I4" s="50"/>
      <c r="J4" s="48" t="s">
        <v>91</v>
      </c>
      <c r="K4" s="48"/>
      <c r="L4" s="48"/>
      <c r="M4" s="49" t="s">
        <v>92</v>
      </c>
      <c r="N4" s="49"/>
      <c r="O4" s="49"/>
    </row>
    <row r="5" spans="1:17">
      <c r="G5" s="54" t="s">
        <v>20</v>
      </c>
      <c r="H5" s="54" t="s">
        <v>21</v>
      </c>
      <c r="I5" s="54" t="s">
        <v>22</v>
      </c>
      <c r="J5" s="55" t="s">
        <v>20</v>
      </c>
      <c r="K5" s="55" t="s">
        <v>21</v>
      </c>
      <c r="L5" s="55" t="s">
        <v>22</v>
      </c>
      <c r="M5" s="54" t="s">
        <v>20</v>
      </c>
      <c r="N5" s="54" t="s">
        <v>21</v>
      </c>
      <c r="O5" s="54" t="s">
        <v>22</v>
      </c>
    </row>
    <row r="6" spans="1:17">
      <c r="A6">
        <f>'5th round - case study'!A5</f>
        <v>1</v>
      </c>
      <c r="B6">
        <v>2022</v>
      </c>
      <c r="C6" t="s">
        <v>96</v>
      </c>
      <c r="D6" s="52" t="str">
        <f>'5th round - case study'!D5</f>
        <v>Green</v>
      </c>
      <c r="E6" t="s">
        <v>94</v>
      </c>
      <c r="F6" t="str">
        <f>'5th round - case study'!F5</f>
        <v>Ref</v>
      </c>
      <c r="G6" s="40">
        <v>119821.61725924999</v>
      </c>
      <c r="H6" s="40">
        <v>17162.770846349998</v>
      </c>
      <c r="I6" s="40">
        <v>26253.975697100002</v>
      </c>
      <c r="J6" s="2">
        <v>119821.61644164998</v>
      </c>
      <c r="K6" s="2">
        <v>17162.770846349998</v>
      </c>
      <c r="L6" s="2">
        <v>26253.975697100002</v>
      </c>
      <c r="M6" s="40">
        <v>119821.61549265</v>
      </c>
      <c r="N6" s="40">
        <v>17162.770846349998</v>
      </c>
      <c r="O6" s="40">
        <v>26253.975697100002</v>
      </c>
      <c r="Q6" s="45"/>
    </row>
    <row r="7" spans="1:17">
      <c r="A7">
        <f>'5th round - case study'!A6</f>
        <v>2</v>
      </c>
      <c r="B7">
        <v>2022</v>
      </c>
      <c r="C7" t="s">
        <v>96</v>
      </c>
      <c r="D7" s="52" t="str">
        <f>'5th round - case study'!D6</f>
        <v>Green</v>
      </c>
      <c r="E7" t="s">
        <v>94</v>
      </c>
      <c r="F7" t="str">
        <f>'5th round - case study'!F6</f>
        <v>NO cheap</v>
      </c>
      <c r="G7" s="40">
        <v>114625.73716844998</v>
      </c>
      <c r="H7" s="40">
        <v>17162.770846349998</v>
      </c>
      <c r="I7" s="40">
        <v>26253.975697100002</v>
      </c>
      <c r="J7" s="2">
        <v>114625.73632530001</v>
      </c>
      <c r="K7" s="2">
        <v>17162.770846349998</v>
      </c>
      <c r="L7" s="2">
        <v>26253.975697100002</v>
      </c>
      <c r="M7" s="40">
        <v>114625.73640559999</v>
      </c>
      <c r="N7" s="40">
        <v>17162.770846349998</v>
      </c>
      <c r="O7" s="40">
        <v>26253.975697100002</v>
      </c>
    </row>
    <row r="8" spans="1:17">
      <c r="A8">
        <f>'5th round - case study'!A7</f>
        <v>3</v>
      </c>
      <c r="B8">
        <v>2022</v>
      </c>
      <c r="C8" t="s">
        <v>96</v>
      </c>
      <c r="D8" s="52" t="str">
        <f>'5th round - case study'!D7</f>
        <v>Green</v>
      </c>
      <c r="E8" t="s">
        <v>94</v>
      </c>
      <c r="F8" t="str">
        <f>'5th round - case study'!F7</f>
        <v>RU cheap</v>
      </c>
      <c r="G8" s="40">
        <v>110110.66740369999</v>
      </c>
      <c r="H8" s="40">
        <v>17162.770846349998</v>
      </c>
      <c r="I8" s="40">
        <v>26253.975697100002</v>
      </c>
      <c r="J8" s="2">
        <v>110110.6674256</v>
      </c>
      <c r="K8" s="2">
        <v>17162.770846349998</v>
      </c>
      <c r="L8" s="2">
        <v>26253.975697100002</v>
      </c>
      <c r="M8" s="40">
        <v>110110.66735989999</v>
      </c>
      <c r="N8" s="40">
        <v>17162.770846349998</v>
      </c>
      <c r="O8" s="40">
        <v>26253.975697100002</v>
      </c>
    </row>
    <row r="9" spans="1:17">
      <c r="A9">
        <f>'5th round - case study'!A8</f>
        <v>4</v>
      </c>
      <c r="B9">
        <v>2022</v>
      </c>
      <c r="C9" t="s">
        <v>96</v>
      </c>
      <c r="D9" s="52" t="str">
        <f>'5th round - case study'!D8</f>
        <v>Green</v>
      </c>
      <c r="E9" t="s">
        <v>94</v>
      </c>
      <c r="F9" t="str">
        <f>'5th round - case study'!F8</f>
        <v>LNG cheap</v>
      </c>
      <c r="G9" s="40">
        <v>111043.02896994998</v>
      </c>
      <c r="H9" s="40">
        <v>17162.770846349998</v>
      </c>
      <c r="I9" s="40">
        <v>26253.975697100002</v>
      </c>
      <c r="J9" s="2">
        <v>111043.02896994998</v>
      </c>
      <c r="K9" s="2">
        <v>17162.770846349998</v>
      </c>
      <c r="L9" s="2">
        <v>26253.975697100002</v>
      </c>
      <c r="M9" s="40">
        <v>111043.02330515</v>
      </c>
      <c r="N9" s="40">
        <v>17162.770846349998</v>
      </c>
      <c r="O9" s="40">
        <v>26253.975697100002</v>
      </c>
    </row>
    <row r="10" spans="1:17">
      <c r="A10">
        <f>'5th round - case study'!A9</f>
        <v>5</v>
      </c>
      <c r="B10">
        <v>2022</v>
      </c>
      <c r="C10" t="s">
        <v>96</v>
      </c>
      <c r="D10" s="52" t="str">
        <f>'5th round - case study'!D9</f>
        <v>Green</v>
      </c>
      <c r="E10" t="s">
        <v>94</v>
      </c>
      <c r="F10" t="str">
        <f>'5th round - case study'!F9</f>
        <v>AZ cheap</v>
      </c>
      <c r="G10" s="40">
        <v>119344.7656409</v>
      </c>
      <c r="H10" s="40">
        <v>17162.770846349998</v>
      </c>
      <c r="I10" s="40">
        <v>26253.975697100002</v>
      </c>
      <c r="J10" s="2">
        <v>119344.76555330001</v>
      </c>
      <c r="K10" s="2">
        <v>17162.770846349998</v>
      </c>
      <c r="L10" s="2">
        <v>26253.975697100002</v>
      </c>
      <c r="M10" s="40">
        <v>119344.76514814999</v>
      </c>
      <c r="N10" s="40">
        <v>17162.770846349998</v>
      </c>
      <c r="O10" s="40">
        <v>26253.975697100002</v>
      </c>
    </row>
    <row r="11" spans="1:17">
      <c r="A11">
        <f>'5th round - case study'!A10</f>
        <v>6</v>
      </c>
      <c r="B11">
        <v>2022</v>
      </c>
      <c r="C11" t="s">
        <v>96</v>
      </c>
      <c r="D11" s="52" t="str">
        <f>'5th round - case study'!D10</f>
        <v>Green</v>
      </c>
      <c r="E11" t="s">
        <v>94</v>
      </c>
      <c r="F11" t="str">
        <f>'5th round - case study'!F10</f>
        <v>DZ cheap</v>
      </c>
      <c r="G11" s="40">
        <v>117042.81266205001</v>
      </c>
      <c r="H11" s="40">
        <v>17162.770846349998</v>
      </c>
      <c r="I11" s="40">
        <v>26253.975697100002</v>
      </c>
      <c r="J11" s="2">
        <v>117042.81249414998</v>
      </c>
      <c r="K11" s="2">
        <v>17162.770846349998</v>
      </c>
      <c r="L11" s="2">
        <v>26253.975697100002</v>
      </c>
      <c r="M11" s="40">
        <v>117042.81264745</v>
      </c>
      <c r="N11" s="40">
        <v>17162.770846349998</v>
      </c>
      <c r="O11" s="40">
        <v>26253.975697100002</v>
      </c>
    </row>
    <row r="12" spans="1:17">
      <c r="A12">
        <f>'5th round - case study'!A11</f>
        <v>7</v>
      </c>
      <c r="B12">
        <v>2022</v>
      </c>
      <c r="C12" t="s">
        <v>96</v>
      </c>
      <c r="D12" s="52" t="str">
        <f>'5th round - case study'!D11</f>
        <v>Green</v>
      </c>
      <c r="E12" t="s">
        <v>94</v>
      </c>
      <c r="F12" t="str">
        <f>'5th round - case study'!F11</f>
        <v>LY cheap</v>
      </c>
      <c r="G12" s="40">
        <v>119245.54249695</v>
      </c>
      <c r="H12" s="40">
        <v>17162.770846349998</v>
      </c>
      <c r="I12" s="40">
        <v>26253.975697100002</v>
      </c>
      <c r="J12" s="2">
        <v>119245.5420626</v>
      </c>
      <c r="K12" s="2">
        <v>17162.770846349998</v>
      </c>
      <c r="L12" s="2">
        <v>26253.975697100002</v>
      </c>
      <c r="M12" s="40">
        <v>119245.54197864998</v>
      </c>
      <c r="N12" s="40">
        <v>17162.770846349998</v>
      </c>
      <c r="O12" s="40">
        <v>26253.975697100002</v>
      </c>
    </row>
    <row r="13" spans="1:17">
      <c r="A13">
        <f>'5th round - case study'!A12</f>
        <v>8</v>
      </c>
      <c r="B13">
        <v>2022</v>
      </c>
      <c r="C13" t="s">
        <v>96</v>
      </c>
      <c r="D13" s="52" t="str">
        <f>'5th round - case study'!D12</f>
        <v>Green</v>
      </c>
      <c r="E13" t="s">
        <v>94</v>
      </c>
      <c r="F13" t="str">
        <f>'5th round - case study'!F12</f>
        <v>NO expensive</v>
      </c>
      <c r="G13" s="40">
        <v>124537.27119355</v>
      </c>
      <c r="H13" s="40">
        <v>17162.770846349998</v>
      </c>
      <c r="I13" s="40">
        <v>26253.975697100002</v>
      </c>
      <c r="J13" s="2">
        <v>124537.27098185</v>
      </c>
      <c r="K13" s="2">
        <v>17162.770846349998</v>
      </c>
      <c r="L13" s="2">
        <v>26253.975697100002</v>
      </c>
      <c r="M13" s="40">
        <v>124537.27058765</v>
      </c>
      <c r="N13" s="40">
        <v>17162.770846349998</v>
      </c>
      <c r="O13" s="40">
        <v>26253.975697100002</v>
      </c>
    </row>
    <row r="14" spans="1:17">
      <c r="A14">
        <f>'5th round - case study'!A13</f>
        <v>9</v>
      </c>
      <c r="B14">
        <v>2022</v>
      </c>
      <c r="C14" t="s">
        <v>96</v>
      </c>
      <c r="D14" s="52" t="str">
        <f>'5th round - case study'!D13</f>
        <v>Green</v>
      </c>
      <c r="E14" t="s">
        <v>94</v>
      </c>
      <c r="F14" t="str">
        <f>'5th round - case study'!F13</f>
        <v>RU expensive</v>
      </c>
      <c r="G14" s="40">
        <v>127392.7520452</v>
      </c>
      <c r="H14" s="40">
        <v>17162.770846349998</v>
      </c>
      <c r="I14" s="40">
        <v>26253.975697100002</v>
      </c>
      <c r="J14" s="2">
        <v>127392.74978585</v>
      </c>
      <c r="K14" s="2">
        <v>17162.770846349998</v>
      </c>
      <c r="L14" s="2">
        <v>26253.975697100002</v>
      </c>
      <c r="M14" s="40">
        <v>127392.7514393</v>
      </c>
      <c r="N14" s="40">
        <v>17162.770846349998</v>
      </c>
      <c r="O14" s="40">
        <v>26253.975697100002</v>
      </c>
    </row>
    <row r="15" spans="1:17">
      <c r="A15">
        <f>'5th round - case study'!A14</f>
        <v>10</v>
      </c>
      <c r="B15">
        <v>2022</v>
      </c>
      <c r="C15" t="s">
        <v>96</v>
      </c>
      <c r="D15" s="52" t="str">
        <f>'5th round - case study'!D14</f>
        <v>Green</v>
      </c>
      <c r="E15" t="s">
        <v>94</v>
      </c>
      <c r="F15" t="str">
        <f>'5th round - case study'!F14</f>
        <v>LNG expensive</v>
      </c>
      <c r="G15" s="40">
        <v>125363.76879125</v>
      </c>
      <c r="H15" s="40">
        <v>17162.770846349998</v>
      </c>
      <c r="I15" s="40">
        <v>26253.975697100002</v>
      </c>
      <c r="J15" s="2">
        <v>125363.76876569999</v>
      </c>
      <c r="K15" s="2">
        <v>17162.770846349998</v>
      </c>
      <c r="L15" s="2">
        <v>26253.975697100002</v>
      </c>
      <c r="M15" s="40">
        <v>125363.76879854999</v>
      </c>
      <c r="N15" s="40">
        <v>17162.770846349998</v>
      </c>
      <c r="O15" s="40">
        <v>26253.975697100002</v>
      </c>
    </row>
    <row r="16" spans="1:17">
      <c r="A16">
        <f>'5th round - case study'!A15</f>
        <v>11</v>
      </c>
      <c r="B16">
        <v>2022</v>
      </c>
      <c r="C16" t="s">
        <v>96</v>
      </c>
      <c r="D16" s="52" t="str">
        <f>'5th round - case study'!D15</f>
        <v>Green</v>
      </c>
      <c r="E16" t="s">
        <v>94</v>
      </c>
      <c r="F16" t="str">
        <f>'5th round - case study'!F15</f>
        <v>AZ expensive</v>
      </c>
      <c r="G16" s="40">
        <v>120027.94063770001</v>
      </c>
      <c r="H16" s="40">
        <v>17162.770846349998</v>
      </c>
      <c r="I16" s="40">
        <v>26253.975697100002</v>
      </c>
      <c r="J16" s="2">
        <v>120027.94048075</v>
      </c>
      <c r="K16" s="2">
        <v>17162.770846349998</v>
      </c>
      <c r="L16" s="2">
        <v>26253.975697100002</v>
      </c>
      <c r="M16" s="40">
        <v>120027.9395281</v>
      </c>
      <c r="N16" s="40">
        <v>17162.770846349998</v>
      </c>
      <c r="O16" s="40">
        <v>26253.975697100002</v>
      </c>
    </row>
    <row r="17" spans="1:15">
      <c r="A17">
        <f>'5th round - case study'!A16</f>
        <v>12</v>
      </c>
      <c r="B17">
        <v>2022</v>
      </c>
      <c r="C17" t="s">
        <v>96</v>
      </c>
      <c r="D17" s="52" t="str">
        <f>'5th round - case study'!D16</f>
        <v>Green</v>
      </c>
      <c r="E17" t="s">
        <v>94</v>
      </c>
      <c r="F17" t="str">
        <f>'5th round - case study'!F16</f>
        <v>DZ expensive</v>
      </c>
      <c r="G17" s="40">
        <v>120916.35301385001</v>
      </c>
      <c r="H17" s="40">
        <v>17162.770846349998</v>
      </c>
      <c r="I17" s="40">
        <v>26253.975697100002</v>
      </c>
      <c r="J17" s="2">
        <v>120916.35291895001</v>
      </c>
      <c r="K17" s="2">
        <v>17162.770846349998</v>
      </c>
      <c r="L17" s="2">
        <v>26253.975697100002</v>
      </c>
      <c r="M17" s="40">
        <v>120916.35249919999</v>
      </c>
      <c r="N17" s="40">
        <v>17162.770846349998</v>
      </c>
      <c r="O17" s="40">
        <v>26253.975697100002</v>
      </c>
    </row>
    <row r="18" spans="1:15">
      <c r="A18">
        <f>'5th round - case study'!A17</f>
        <v>13</v>
      </c>
      <c r="B18">
        <v>2022</v>
      </c>
      <c r="C18" t="s">
        <v>96</v>
      </c>
      <c r="D18" s="52" t="str">
        <f>'5th round - case study'!D17</f>
        <v>Green</v>
      </c>
      <c r="E18" t="s">
        <v>94</v>
      </c>
      <c r="F18" t="str">
        <f>'5th round - case study'!F17</f>
        <v>LY expensive</v>
      </c>
      <c r="G18" s="40">
        <v>120175.33732844998</v>
      </c>
      <c r="H18" s="40">
        <v>17162.770846349998</v>
      </c>
      <c r="I18" s="40">
        <v>26253.975697100002</v>
      </c>
      <c r="J18" s="2">
        <v>120175.33702914999</v>
      </c>
      <c r="K18" s="2">
        <v>17162.770846349998</v>
      </c>
      <c r="L18" s="2">
        <v>26253.975697100002</v>
      </c>
      <c r="M18" s="40">
        <v>120175.3371496</v>
      </c>
      <c r="N18" s="40">
        <v>17162.770846349998</v>
      </c>
      <c r="O18" s="40">
        <v>26253.975697100002</v>
      </c>
    </row>
    <row r="19" spans="1:15">
      <c r="A19">
        <f>'5th round - case study'!A18</f>
        <v>14</v>
      </c>
      <c r="B19">
        <v>2022</v>
      </c>
      <c r="C19" t="s">
        <v>96</v>
      </c>
      <c r="D19" s="52" t="s">
        <v>95</v>
      </c>
      <c r="E19" t="s">
        <v>94</v>
      </c>
      <c r="F19" t="str">
        <f>'5th round - case study'!F18</f>
        <v>Ref</v>
      </c>
      <c r="G19" s="40">
        <v>124323.68407784999</v>
      </c>
      <c r="H19" s="40">
        <v>32648.509498949999</v>
      </c>
      <c r="I19" s="40">
        <v>12948.650775749999</v>
      </c>
      <c r="J19" s="2">
        <v>124323.68410705001</v>
      </c>
      <c r="K19" s="2">
        <v>32648.509498949999</v>
      </c>
      <c r="L19" s="2">
        <v>12948.650775749999</v>
      </c>
      <c r="M19" s="40">
        <v>124323.68401215</v>
      </c>
      <c r="N19" s="40">
        <v>32648.509498949999</v>
      </c>
      <c r="O19" s="40">
        <v>12948.650775749999</v>
      </c>
    </row>
    <row r="20" spans="1:15">
      <c r="A20">
        <f>'5th round - case study'!A19</f>
        <v>15</v>
      </c>
      <c r="B20">
        <v>2022</v>
      </c>
      <c r="C20" t="s">
        <v>96</v>
      </c>
      <c r="D20" s="52" t="s">
        <v>95</v>
      </c>
      <c r="E20" t="s">
        <v>94</v>
      </c>
      <c r="F20" t="str">
        <f>'5th round - case study'!F19</f>
        <v>NO cheap</v>
      </c>
      <c r="G20" s="40">
        <v>117920.0009232</v>
      </c>
      <c r="H20" s="40">
        <v>32648.509498949999</v>
      </c>
      <c r="I20" s="40">
        <v>12948.650775749999</v>
      </c>
      <c r="J20" s="2">
        <v>117920.00079909999</v>
      </c>
      <c r="K20" s="2">
        <v>32648.509498949999</v>
      </c>
      <c r="L20" s="2">
        <v>12948.650775749999</v>
      </c>
      <c r="M20" s="40">
        <v>117920.00073705</v>
      </c>
      <c r="N20" s="40">
        <v>32648.509498949999</v>
      </c>
      <c r="O20" s="40">
        <v>12948.650775749999</v>
      </c>
    </row>
    <row r="21" spans="1:15">
      <c r="A21">
        <f>'5th round - case study'!A20</f>
        <v>16</v>
      </c>
      <c r="B21">
        <v>2022</v>
      </c>
      <c r="C21" t="s">
        <v>96</v>
      </c>
      <c r="D21" s="52" t="s">
        <v>95</v>
      </c>
      <c r="E21" t="s">
        <v>94</v>
      </c>
      <c r="F21" t="str">
        <f>'5th round - case study'!F20</f>
        <v>RU cheap</v>
      </c>
      <c r="G21" s="40">
        <v>113132.6893275</v>
      </c>
      <c r="H21" s="40">
        <v>32648.509498949999</v>
      </c>
      <c r="I21" s="40">
        <v>12948.650775749999</v>
      </c>
      <c r="J21" s="2">
        <v>113132.6893275</v>
      </c>
      <c r="K21" s="2">
        <v>32648.509498949999</v>
      </c>
      <c r="L21" s="2">
        <v>12948.650775749999</v>
      </c>
      <c r="M21" s="40">
        <v>113133.67757594999</v>
      </c>
      <c r="N21" s="40">
        <v>32648.509498949999</v>
      </c>
      <c r="O21" s="40">
        <v>12948.650775749999</v>
      </c>
    </row>
    <row r="22" spans="1:15">
      <c r="A22">
        <f>'5th round - case study'!A21</f>
        <v>17</v>
      </c>
      <c r="B22">
        <v>2022</v>
      </c>
      <c r="C22" t="s">
        <v>96</v>
      </c>
      <c r="D22" s="52" t="s">
        <v>95</v>
      </c>
      <c r="E22" t="s">
        <v>94</v>
      </c>
      <c r="F22" t="str">
        <f>'5th round - case study'!F21</f>
        <v>LNG cheap</v>
      </c>
      <c r="G22" s="40">
        <v>116112.46789965</v>
      </c>
      <c r="H22" s="40">
        <v>32648.509498949999</v>
      </c>
      <c r="I22" s="40">
        <v>12948.650775749999</v>
      </c>
      <c r="J22" s="2">
        <v>116112.46789965</v>
      </c>
      <c r="K22" s="2">
        <v>32648.509498949999</v>
      </c>
      <c r="L22" s="2">
        <v>12948.650775749999</v>
      </c>
      <c r="M22" s="40">
        <v>116112.46722075</v>
      </c>
      <c r="N22" s="40">
        <v>32648.509498949999</v>
      </c>
      <c r="O22" s="40">
        <v>12948.650775749999</v>
      </c>
    </row>
    <row r="23" spans="1:15">
      <c r="A23">
        <f>'5th round - case study'!A22</f>
        <v>18</v>
      </c>
      <c r="B23">
        <v>2022</v>
      </c>
      <c r="C23" t="s">
        <v>96</v>
      </c>
      <c r="D23" s="52" t="s">
        <v>95</v>
      </c>
      <c r="E23" t="s">
        <v>94</v>
      </c>
      <c r="F23" t="str">
        <f>'5th round - case study'!F22</f>
        <v>AZ cheap</v>
      </c>
      <c r="G23" s="40">
        <v>123772.42031830001</v>
      </c>
      <c r="H23" s="40">
        <v>32648.509498949999</v>
      </c>
      <c r="I23" s="40">
        <v>12948.650775749999</v>
      </c>
      <c r="J23" s="2">
        <v>123772.4203256</v>
      </c>
      <c r="K23" s="2">
        <v>32648.509498949999</v>
      </c>
      <c r="L23" s="2">
        <v>12948.650775749999</v>
      </c>
      <c r="M23" s="40">
        <v>123772.4202526</v>
      </c>
      <c r="N23" s="40">
        <v>32648.509498949999</v>
      </c>
      <c r="O23" s="40">
        <v>12948.650775749999</v>
      </c>
    </row>
    <row r="24" spans="1:15">
      <c r="A24">
        <f>'5th round - case study'!A23</f>
        <v>19</v>
      </c>
      <c r="B24">
        <v>2022</v>
      </c>
      <c r="C24" t="s">
        <v>96</v>
      </c>
      <c r="D24" s="52" t="s">
        <v>95</v>
      </c>
      <c r="E24" t="s">
        <v>94</v>
      </c>
      <c r="F24" t="str">
        <f>'5th round - case study'!F23</f>
        <v>DZ cheap</v>
      </c>
      <c r="G24" s="40">
        <v>121567.54502435001</v>
      </c>
      <c r="H24" s="40">
        <v>32648.509498949999</v>
      </c>
      <c r="I24" s="40">
        <v>12948.650775749999</v>
      </c>
      <c r="J24" s="2">
        <v>121567.54502435001</v>
      </c>
      <c r="K24" s="2">
        <v>32648.509498949999</v>
      </c>
      <c r="L24" s="2">
        <v>12948.650775749999</v>
      </c>
      <c r="M24" s="40">
        <v>121567.54502435001</v>
      </c>
      <c r="N24" s="40">
        <v>32648.509498949999</v>
      </c>
      <c r="O24" s="40">
        <v>12948.650775749999</v>
      </c>
    </row>
    <row r="25" spans="1:15">
      <c r="A25">
        <f>'5th round - case study'!A24</f>
        <v>20</v>
      </c>
      <c r="B25">
        <v>2022</v>
      </c>
      <c r="C25" t="s">
        <v>96</v>
      </c>
      <c r="D25" s="52" t="s">
        <v>95</v>
      </c>
      <c r="E25" t="s">
        <v>94</v>
      </c>
      <c r="F25" t="str">
        <f>'5th round - case study'!F24</f>
        <v>LY cheap</v>
      </c>
      <c r="G25" s="40">
        <v>123682.2109333</v>
      </c>
      <c r="H25" s="40">
        <v>32648.509498949999</v>
      </c>
      <c r="I25" s="40">
        <v>12948.650775749999</v>
      </c>
      <c r="J25" s="2">
        <v>123682.2110063</v>
      </c>
      <c r="K25" s="2">
        <v>32648.509498949999</v>
      </c>
      <c r="L25" s="2">
        <v>12948.650775749999</v>
      </c>
      <c r="M25" s="40">
        <v>123682.21090775001</v>
      </c>
      <c r="N25" s="40">
        <v>32648.509498949999</v>
      </c>
      <c r="O25" s="40">
        <v>12948.650775749999</v>
      </c>
    </row>
    <row r="26" spans="1:15">
      <c r="A26">
        <f>'5th round - case study'!A25</f>
        <v>21</v>
      </c>
      <c r="B26">
        <v>2022</v>
      </c>
      <c r="C26" t="s">
        <v>96</v>
      </c>
      <c r="D26" s="52" t="s">
        <v>95</v>
      </c>
      <c r="E26" t="s">
        <v>94</v>
      </c>
      <c r="F26" t="str">
        <f>'5th round - case study'!F25</f>
        <v>NO expensive</v>
      </c>
      <c r="G26" s="40">
        <v>130321.38071455</v>
      </c>
      <c r="H26" s="40">
        <v>32648.509498949999</v>
      </c>
      <c r="I26" s="40">
        <v>12948.650775749999</v>
      </c>
      <c r="J26" s="2">
        <v>130321.38063059999</v>
      </c>
      <c r="K26" s="2">
        <v>32648.509498949999</v>
      </c>
      <c r="L26" s="2">
        <v>12948.650775749999</v>
      </c>
      <c r="M26" s="40">
        <v>130321.38060505</v>
      </c>
      <c r="N26" s="40">
        <v>32648.509498949999</v>
      </c>
      <c r="O26" s="40">
        <v>12948.650775749999</v>
      </c>
    </row>
    <row r="27" spans="1:15">
      <c r="A27">
        <f>'5th round - case study'!A26</f>
        <v>22</v>
      </c>
      <c r="B27">
        <v>2022</v>
      </c>
      <c r="C27" t="s">
        <v>96</v>
      </c>
      <c r="D27" s="52" t="s">
        <v>95</v>
      </c>
      <c r="E27" t="s">
        <v>94</v>
      </c>
      <c r="F27" t="str">
        <f>'5th round - case study'!F26</f>
        <v>RU expensive</v>
      </c>
      <c r="G27" s="40">
        <v>133233.92191400001</v>
      </c>
      <c r="H27" s="40">
        <v>32648.509498949999</v>
      </c>
      <c r="I27" s="40">
        <v>12948.650775749999</v>
      </c>
      <c r="J27" s="2">
        <v>133233.92197969998</v>
      </c>
      <c r="K27" s="2">
        <v>32648.509498949999</v>
      </c>
      <c r="L27" s="2">
        <v>12948.650775749999</v>
      </c>
      <c r="M27" s="40">
        <v>133233.92183735</v>
      </c>
      <c r="N27" s="40">
        <v>32648.509498949999</v>
      </c>
      <c r="O27" s="40">
        <v>12948.650775749999</v>
      </c>
    </row>
    <row r="28" spans="1:15">
      <c r="A28">
        <f>'5th round - case study'!A27</f>
        <v>23</v>
      </c>
      <c r="B28">
        <v>2022</v>
      </c>
      <c r="C28" t="s">
        <v>96</v>
      </c>
      <c r="D28" s="52" t="s">
        <v>95</v>
      </c>
      <c r="E28" t="s">
        <v>94</v>
      </c>
      <c r="F28" t="str">
        <f>'5th round - case study'!F27</f>
        <v>LNG expensive</v>
      </c>
      <c r="G28" s="40">
        <v>129682.34633575</v>
      </c>
      <c r="H28" s="40">
        <v>32648.509498949999</v>
      </c>
      <c r="I28" s="40">
        <v>12948.650775749999</v>
      </c>
      <c r="J28" s="2">
        <v>129682.34633575</v>
      </c>
      <c r="K28" s="2">
        <v>32648.509498949999</v>
      </c>
      <c r="L28" s="2">
        <v>12948.650775749999</v>
      </c>
      <c r="M28" s="40">
        <v>129682.3463321</v>
      </c>
      <c r="N28" s="40">
        <v>32648.509498949999</v>
      </c>
      <c r="O28" s="40">
        <v>12948.650775749999</v>
      </c>
    </row>
    <row r="29" spans="1:15">
      <c r="A29">
        <f>'5th round - case study'!A28</f>
        <v>24</v>
      </c>
      <c r="B29">
        <v>2022</v>
      </c>
      <c r="C29" t="s">
        <v>96</v>
      </c>
      <c r="D29" s="52" t="s">
        <v>95</v>
      </c>
      <c r="E29" t="s">
        <v>94</v>
      </c>
      <c r="F29" t="str">
        <f>'5th round - case study'!F28</f>
        <v>AZ expensive</v>
      </c>
      <c r="G29" s="40">
        <v>124394.88251815</v>
      </c>
      <c r="H29" s="40">
        <v>32648.509498949999</v>
      </c>
      <c r="I29" s="40">
        <v>12948.650775749999</v>
      </c>
      <c r="J29" s="2">
        <v>124394.88254005001</v>
      </c>
      <c r="K29" s="2">
        <v>32648.509498949999</v>
      </c>
      <c r="L29" s="2">
        <v>12948.650775749999</v>
      </c>
      <c r="M29" s="40">
        <v>124394.88245609999</v>
      </c>
      <c r="N29" s="40">
        <v>32648.509498949999</v>
      </c>
      <c r="O29" s="40">
        <v>12948.650775749999</v>
      </c>
    </row>
    <row r="30" spans="1:15">
      <c r="A30">
        <f>'5th round - case study'!A29</f>
        <v>25</v>
      </c>
      <c r="B30">
        <v>2022</v>
      </c>
      <c r="C30" t="s">
        <v>96</v>
      </c>
      <c r="D30" s="52" t="s">
        <v>95</v>
      </c>
      <c r="E30" t="s">
        <v>94</v>
      </c>
      <c r="F30" t="str">
        <f>'5th round - case study'!F29</f>
        <v>DZ expensive</v>
      </c>
      <c r="G30" s="40">
        <v>125096.72742919999</v>
      </c>
      <c r="H30" s="40">
        <v>32648.509498949999</v>
      </c>
      <c r="I30" s="40">
        <v>12948.650775749999</v>
      </c>
      <c r="J30" s="2">
        <v>125096.72742919999</v>
      </c>
      <c r="K30" s="2">
        <v>32648.509498949999</v>
      </c>
      <c r="L30" s="2">
        <v>12948.650775749999</v>
      </c>
      <c r="M30" s="40">
        <v>125096.7273708</v>
      </c>
      <c r="N30" s="40">
        <v>32648.509498949999</v>
      </c>
      <c r="O30" s="40">
        <v>12948.650775749999</v>
      </c>
    </row>
    <row r="31" spans="1:15">
      <c r="A31">
        <f>'5th round - case study'!A30</f>
        <v>26</v>
      </c>
      <c r="B31">
        <v>2022</v>
      </c>
      <c r="C31" t="s">
        <v>96</v>
      </c>
      <c r="D31" s="52" t="s">
        <v>95</v>
      </c>
      <c r="E31" t="s">
        <v>94</v>
      </c>
      <c r="F31" t="str">
        <f>'5th round - case study'!F30</f>
        <v>LY expensive</v>
      </c>
      <c r="G31" s="40">
        <v>124753.11296534998</v>
      </c>
      <c r="H31" s="40">
        <v>32648.509498949999</v>
      </c>
      <c r="I31" s="40">
        <v>12948.650775749999</v>
      </c>
      <c r="J31" s="2">
        <v>124753.11290695</v>
      </c>
      <c r="K31" s="2">
        <v>32648.509498949999</v>
      </c>
      <c r="L31" s="2">
        <v>12948.650775749999</v>
      </c>
      <c r="M31" s="40">
        <v>124753.112823</v>
      </c>
      <c r="N31" s="40">
        <v>32648.509498949999</v>
      </c>
      <c r="O31" s="40">
        <v>12948.650775749999</v>
      </c>
    </row>
    <row r="32" spans="1:15">
      <c r="A32">
        <f>'5th round - case study'!A31</f>
        <v>27</v>
      </c>
      <c r="B32">
        <v>2022</v>
      </c>
      <c r="C32" t="s">
        <v>97</v>
      </c>
      <c r="D32" s="52" t="str">
        <f>'5th round - case study'!D31</f>
        <v>Green</v>
      </c>
      <c r="E32" t="s">
        <v>94</v>
      </c>
      <c r="F32" t="str">
        <f>'5th round - case study'!F31</f>
        <v>Ref</v>
      </c>
      <c r="G32" s="40">
        <v>119227.73965844999</v>
      </c>
      <c r="H32" s="40">
        <v>17162.736488899998</v>
      </c>
      <c r="I32" s="40">
        <v>26261.16446335</v>
      </c>
      <c r="J32" s="2">
        <v>119227.73965844999</v>
      </c>
      <c r="K32" s="2">
        <v>17162.736488899998</v>
      </c>
      <c r="L32" s="2">
        <v>26261.16446335</v>
      </c>
      <c r="M32" s="40">
        <v>119227.73973875</v>
      </c>
      <c r="N32" s="40">
        <v>17162.736488899998</v>
      </c>
      <c r="O32" s="40">
        <v>26261.16446335</v>
      </c>
    </row>
    <row r="33" spans="1:15">
      <c r="A33">
        <f>'5th round - case study'!A32</f>
        <v>28</v>
      </c>
      <c r="B33">
        <v>2022</v>
      </c>
      <c r="C33" t="s">
        <v>97</v>
      </c>
      <c r="D33" s="52" t="str">
        <f>'5th round - case study'!D32</f>
        <v>Green</v>
      </c>
      <c r="E33" t="s">
        <v>94</v>
      </c>
      <c r="F33" t="str">
        <f>'5th round - case study'!F32</f>
        <v>NO cheap</v>
      </c>
      <c r="G33" s="40">
        <v>114031.38153444999</v>
      </c>
      <c r="H33" s="40">
        <v>17162.736488899998</v>
      </c>
      <c r="I33" s="40">
        <v>26261.16446335</v>
      </c>
      <c r="J33" s="2">
        <v>114031.38153444999</v>
      </c>
      <c r="K33" s="2">
        <v>17162.736488899998</v>
      </c>
      <c r="L33" s="2">
        <v>26261.16446335</v>
      </c>
      <c r="M33" s="40">
        <v>114031.38161474999</v>
      </c>
      <c r="N33" s="40">
        <v>17162.736488899998</v>
      </c>
      <c r="O33" s="40">
        <v>26261.16446335</v>
      </c>
    </row>
    <row r="34" spans="1:15">
      <c r="A34">
        <f>'5th round - case study'!A33</f>
        <v>29</v>
      </c>
      <c r="B34">
        <v>2022</v>
      </c>
      <c r="C34" t="s">
        <v>97</v>
      </c>
      <c r="D34" s="52" t="str">
        <f>'5th round - case study'!D33</f>
        <v>Green</v>
      </c>
      <c r="E34" t="s">
        <v>94</v>
      </c>
      <c r="F34" t="str">
        <f>'5th round - case study'!F33</f>
        <v>RU cheap</v>
      </c>
      <c r="G34" s="40">
        <v>109511.04196174999</v>
      </c>
      <c r="H34" s="40">
        <v>17162.736488899998</v>
      </c>
      <c r="I34" s="40">
        <v>26261.16446335</v>
      </c>
      <c r="J34" s="2">
        <v>109511.04196174999</v>
      </c>
      <c r="K34" s="2">
        <v>17162.736488899998</v>
      </c>
      <c r="L34" s="2">
        <v>26261.16446335</v>
      </c>
      <c r="M34" s="40">
        <v>109511.04196174999</v>
      </c>
      <c r="N34" s="40">
        <v>17162.736488899998</v>
      </c>
      <c r="O34" s="40">
        <v>26261.16446335</v>
      </c>
    </row>
    <row r="35" spans="1:15">
      <c r="A35">
        <f>'5th round - case study'!A34</f>
        <v>30</v>
      </c>
      <c r="B35">
        <v>2022</v>
      </c>
      <c r="C35" t="s">
        <v>97</v>
      </c>
      <c r="D35" s="52" t="str">
        <f>'5th round - case study'!D34</f>
        <v>Green</v>
      </c>
      <c r="E35" t="s">
        <v>94</v>
      </c>
      <c r="F35" t="str">
        <f>'5th round - case study'!F34</f>
        <v>LNG cheap</v>
      </c>
      <c r="G35" s="40">
        <v>110430.96596685</v>
      </c>
      <c r="H35" s="40">
        <v>17162.736488899998</v>
      </c>
      <c r="I35" s="40">
        <v>26261.16446335</v>
      </c>
      <c r="J35" s="2">
        <v>110430.96596685</v>
      </c>
      <c r="K35" s="2">
        <v>17162.736488899998</v>
      </c>
      <c r="L35" s="2">
        <v>26261.16446335</v>
      </c>
      <c r="M35" s="40">
        <v>110430.96667129999</v>
      </c>
      <c r="N35" s="40">
        <v>17162.736488899998</v>
      </c>
      <c r="O35" s="40">
        <v>26261.16446335</v>
      </c>
    </row>
    <row r="36" spans="1:15">
      <c r="A36">
        <f>'5th round - case study'!A35</f>
        <v>31</v>
      </c>
      <c r="B36">
        <v>2022</v>
      </c>
      <c r="C36" t="s">
        <v>97</v>
      </c>
      <c r="D36" s="52" t="str">
        <f>'5th round - case study'!D35</f>
        <v>Green</v>
      </c>
      <c r="E36" t="s">
        <v>94</v>
      </c>
      <c r="F36" t="str">
        <f>'5th round - case study'!F35</f>
        <v>AZ cheap</v>
      </c>
      <c r="G36" s="40">
        <v>118618.16626925</v>
      </c>
      <c r="H36" s="40">
        <v>17162.736488899998</v>
      </c>
      <c r="I36" s="40">
        <v>26261.16446335</v>
      </c>
      <c r="J36" s="2">
        <v>118618.16626925</v>
      </c>
      <c r="K36" s="2">
        <v>17162.736488899998</v>
      </c>
      <c r="L36" s="2">
        <v>26261.16446335</v>
      </c>
      <c r="M36" s="40">
        <v>118618.16634955001</v>
      </c>
      <c r="N36" s="40">
        <v>17162.736488899998</v>
      </c>
      <c r="O36" s="40">
        <v>26261.16446335</v>
      </c>
    </row>
    <row r="37" spans="1:15">
      <c r="A37">
        <f>'5th round - case study'!A36</f>
        <v>32</v>
      </c>
      <c r="B37">
        <v>2022</v>
      </c>
      <c r="C37" t="s">
        <v>97</v>
      </c>
      <c r="D37" s="52" t="str">
        <f>'5th round - case study'!D36</f>
        <v>Green</v>
      </c>
      <c r="E37" t="s">
        <v>94</v>
      </c>
      <c r="F37" t="str">
        <f>'5th round - case study'!F36</f>
        <v>DZ cheap</v>
      </c>
      <c r="G37" s="40">
        <v>116446.89520034999</v>
      </c>
      <c r="H37" s="40">
        <v>17162.736488899998</v>
      </c>
      <c r="I37" s="40">
        <v>26261.16446335</v>
      </c>
      <c r="J37" s="2">
        <v>116446.89520034999</v>
      </c>
      <c r="K37" s="2">
        <v>17162.736488899998</v>
      </c>
      <c r="L37" s="2">
        <v>26261.16446335</v>
      </c>
      <c r="M37" s="40">
        <v>116446.89520400001</v>
      </c>
      <c r="N37" s="40">
        <v>17162.736488899998</v>
      </c>
      <c r="O37" s="40">
        <v>26261.16446335</v>
      </c>
    </row>
    <row r="38" spans="1:15">
      <c r="A38">
        <f>'5th round - case study'!A37</f>
        <v>33</v>
      </c>
      <c r="B38">
        <v>2022</v>
      </c>
      <c r="C38" t="s">
        <v>97</v>
      </c>
      <c r="D38" s="52" t="str">
        <f>'5th round - case study'!D37</f>
        <v>Green</v>
      </c>
      <c r="E38" t="s">
        <v>94</v>
      </c>
      <c r="F38" t="str">
        <f>'5th round - case study'!F37</f>
        <v>LY cheap</v>
      </c>
      <c r="G38" s="40">
        <v>118653.58372669999</v>
      </c>
      <c r="H38" s="40">
        <v>17162.736488899998</v>
      </c>
      <c r="I38" s="40">
        <v>26261.16446335</v>
      </c>
      <c r="J38" s="2">
        <v>118653.58372669999</v>
      </c>
      <c r="K38" s="2">
        <v>17162.736488899998</v>
      </c>
      <c r="L38" s="2">
        <v>26261.16446335</v>
      </c>
      <c r="M38" s="40">
        <v>118653.583807</v>
      </c>
      <c r="N38" s="40">
        <v>17162.736488899998</v>
      </c>
      <c r="O38" s="40">
        <v>26261.16446335</v>
      </c>
    </row>
    <row r="39" spans="1:15">
      <c r="A39">
        <f>'5th round - case study'!A38</f>
        <v>34</v>
      </c>
      <c r="B39">
        <v>2022</v>
      </c>
      <c r="C39" t="s">
        <v>97</v>
      </c>
      <c r="D39" s="52" t="str">
        <f>'5th round - case study'!D38</f>
        <v>Green</v>
      </c>
      <c r="E39" t="s">
        <v>94</v>
      </c>
      <c r="F39" t="str">
        <f>'5th round - case study'!F38</f>
        <v>NO expensive</v>
      </c>
      <c r="G39" s="40">
        <v>123942.75635385001</v>
      </c>
      <c r="H39" s="40">
        <v>17162.736488899998</v>
      </c>
      <c r="I39" s="40">
        <v>26261.16446335</v>
      </c>
      <c r="J39" s="2">
        <v>123942.75635385001</v>
      </c>
      <c r="K39" s="2">
        <v>17162.736488899998</v>
      </c>
      <c r="L39" s="2">
        <v>26261.16446335</v>
      </c>
      <c r="M39" s="40">
        <v>123942.7564232</v>
      </c>
      <c r="N39" s="40">
        <v>17162.736488899998</v>
      </c>
      <c r="O39" s="40">
        <v>26261.16446335</v>
      </c>
    </row>
    <row r="40" spans="1:15">
      <c r="A40">
        <f>'5th round - case study'!A39</f>
        <v>35</v>
      </c>
      <c r="B40">
        <v>2022</v>
      </c>
      <c r="C40" t="s">
        <v>97</v>
      </c>
      <c r="D40" s="52" t="str">
        <f>'5th round - case study'!D39</f>
        <v>Green</v>
      </c>
      <c r="E40" t="s">
        <v>94</v>
      </c>
      <c r="F40" t="str">
        <f>'5th round - case study'!F39</f>
        <v>RU expensive</v>
      </c>
      <c r="G40" s="40">
        <v>126792.54837025001</v>
      </c>
      <c r="H40" s="40">
        <v>17162.736488899998</v>
      </c>
      <c r="I40" s="40">
        <v>26261.16446335</v>
      </c>
      <c r="J40" s="2">
        <v>126792.54837025001</v>
      </c>
      <c r="K40" s="2">
        <v>17162.736488899998</v>
      </c>
      <c r="L40" s="2">
        <v>26261.16446335</v>
      </c>
      <c r="M40" s="40">
        <v>126792.54854909999</v>
      </c>
      <c r="N40" s="40">
        <v>17162.736488899998</v>
      </c>
      <c r="O40" s="40">
        <v>26261.16446335</v>
      </c>
    </row>
    <row r="41" spans="1:15">
      <c r="A41">
        <f>'5th round - case study'!A40</f>
        <v>36</v>
      </c>
      <c r="B41">
        <v>2022</v>
      </c>
      <c r="C41" t="s">
        <v>97</v>
      </c>
      <c r="D41" s="52" t="str">
        <f>'5th round - case study'!D40</f>
        <v>Green</v>
      </c>
      <c r="E41" t="s">
        <v>94</v>
      </c>
      <c r="F41" t="str">
        <f>'5th round - case study'!F40</f>
        <v>LNG expensive</v>
      </c>
      <c r="G41" s="40">
        <v>124737.06044784999</v>
      </c>
      <c r="H41" s="40">
        <v>17162.736488899998</v>
      </c>
      <c r="I41" s="40">
        <v>26261.16446335</v>
      </c>
      <c r="J41" s="2">
        <v>124737.06044784999</v>
      </c>
      <c r="K41" s="2">
        <v>17162.736488899998</v>
      </c>
      <c r="L41" s="2">
        <v>26261.16446335</v>
      </c>
      <c r="M41" s="40">
        <v>124737.06044784999</v>
      </c>
      <c r="N41" s="40">
        <v>17162.736488899998</v>
      </c>
      <c r="O41" s="40">
        <v>26261.16446335</v>
      </c>
    </row>
    <row r="42" spans="1:15">
      <c r="A42">
        <f>'5th round - case study'!A41</f>
        <v>37</v>
      </c>
      <c r="B42">
        <v>2022</v>
      </c>
      <c r="C42" t="s">
        <v>97</v>
      </c>
      <c r="D42" s="52" t="str">
        <f>'5th round - case study'!D41</f>
        <v>Green</v>
      </c>
      <c r="E42" t="s">
        <v>94</v>
      </c>
      <c r="F42" t="str">
        <f>'5th round - case study'!F41</f>
        <v>AZ expensive</v>
      </c>
      <c r="G42" s="40">
        <v>119433.04580380001</v>
      </c>
      <c r="H42" s="40">
        <v>17162.736488899998</v>
      </c>
      <c r="I42" s="40">
        <v>26261.16446335</v>
      </c>
      <c r="J42" s="2">
        <v>119433.0457892</v>
      </c>
      <c r="K42" s="2">
        <v>17162.736488899998</v>
      </c>
      <c r="L42" s="2">
        <v>26261.16446335</v>
      </c>
      <c r="M42" s="40">
        <v>119433.0458695</v>
      </c>
      <c r="N42" s="40">
        <v>17162.736488899998</v>
      </c>
      <c r="O42" s="40">
        <v>26261.16446335</v>
      </c>
    </row>
    <row r="43" spans="1:15">
      <c r="A43">
        <f>'5th round - case study'!A42</f>
        <v>38</v>
      </c>
      <c r="B43">
        <v>2022</v>
      </c>
      <c r="C43" t="s">
        <v>97</v>
      </c>
      <c r="D43" s="52" t="str">
        <f>'5th round - case study'!D42</f>
        <v>Green</v>
      </c>
      <c r="E43" t="s">
        <v>94</v>
      </c>
      <c r="F43" t="str">
        <f>'5th round - case study'!F42</f>
        <v>DZ expensive</v>
      </c>
      <c r="G43" s="40">
        <v>120305.467227</v>
      </c>
      <c r="H43" s="40">
        <v>17162.736488899998</v>
      </c>
      <c r="I43" s="40">
        <v>26261.16446335</v>
      </c>
      <c r="J43" s="2">
        <v>120305.46722335</v>
      </c>
      <c r="K43" s="2">
        <v>17162.736488899998</v>
      </c>
      <c r="L43" s="2">
        <v>26261.16446335</v>
      </c>
      <c r="M43" s="40">
        <v>120305.467227</v>
      </c>
      <c r="N43" s="40">
        <v>17162.736488899998</v>
      </c>
      <c r="O43" s="40">
        <v>26261.16446335</v>
      </c>
    </row>
    <row r="44" spans="1:15">
      <c r="A44">
        <f>'5th round - case study'!A43</f>
        <v>39</v>
      </c>
      <c r="B44">
        <v>2022</v>
      </c>
      <c r="C44" t="s">
        <v>97</v>
      </c>
      <c r="D44" s="52" t="str">
        <f>'5th round - case study'!D43</f>
        <v>Green</v>
      </c>
      <c r="E44" t="s">
        <v>94</v>
      </c>
      <c r="F44" t="str">
        <f>'5th round - case study'!F43</f>
        <v>LY expensive</v>
      </c>
      <c r="G44" s="40">
        <v>119581.45907065</v>
      </c>
      <c r="H44" s="40">
        <v>17162.736488899998</v>
      </c>
      <c r="I44" s="40">
        <v>26261.16446335</v>
      </c>
      <c r="J44" s="2">
        <v>119581.45907065</v>
      </c>
      <c r="K44" s="2">
        <v>17162.736488899998</v>
      </c>
      <c r="L44" s="2">
        <v>26261.16446335</v>
      </c>
      <c r="M44" s="40">
        <v>119581.45914729999</v>
      </c>
      <c r="N44" s="40">
        <v>17162.736488899998</v>
      </c>
      <c r="O44" s="40">
        <v>26261.16446335</v>
      </c>
    </row>
    <row r="45" spans="1:15">
      <c r="A45">
        <f>'5th round - case study'!A44</f>
        <v>40</v>
      </c>
      <c r="B45">
        <v>2022</v>
      </c>
      <c r="C45" t="s">
        <v>97</v>
      </c>
      <c r="D45" s="52" t="s">
        <v>95</v>
      </c>
      <c r="E45" t="s">
        <v>94</v>
      </c>
      <c r="F45" t="str">
        <f>'5th round - case study'!F44</f>
        <v>Ref</v>
      </c>
      <c r="G45" s="40">
        <v>124094.75580775</v>
      </c>
      <c r="H45" s="40">
        <v>32475.296737799999</v>
      </c>
      <c r="I45" s="40">
        <v>12913.956197149997</v>
      </c>
      <c r="J45" s="2">
        <v>124094.75585155001</v>
      </c>
      <c r="K45" s="2">
        <v>32475.296737799999</v>
      </c>
      <c r="L45" s="2">
        <v>12913.956197149997</v>
      </c>
      <c r="M45" s="40">
        <v>124094.75580409999</v>
      </c>
      <c r="N45" s="40">
        <v>32475.296737799999</v>
      </c>
      <c r="O45" s="40">
        <v>12913.956197149997</v>
      </c>
    </row>
    <row r="46" spans="1:15">
      <c r="A46">
        <f>'5th round - case study'!A45</f>
        <v>41</v>
      </c>
      <c r="B46">
        <v>2022</v>
      </c>
      <c r="C46" t="s">
        <v>97</v>
      </c>
      <c r="D46" s="52" t="s">
        <v>95</v>
      </c>
      <c r="E46" t="s">
        <v>94</v>
      </c>
      <c r="F46" t="str">
        <f>'5th round - case study'!F45</f>
        <v>NO cheap</v>
      </c>
      <c r="G46" s="40">
        <v>117673.68283034998</v>
      </c>
      <c r="H46" s="40">
        <v>32475.296737799999</v>
      </c>
      <c r="I46" s="40">
        <v>12913.956197149997</v>
      </c>
      <c r="J46" s="2">
        <v>117673.68283034998</v>
      </c>
      <c r="K46" s="2">
        <v>32475.296737799999</v>
      </c>
      <c r="L46" s="2">
        <v>12913.956197149997</v>
      </c>
      <c r="M46" s="40">
        <v>117673.6828559</v>
      </c>
      <c r="N46" s="40">
        <v>32475.296737799999</v>
      </c>
      <c r="O46" s="40">
        <v>12913.956197149997</v>
      </c>
    </row>
    <row r="47" spans="1:15">
      <c r="A47">
        <f>'5th round - case study'!A46</f>
        <v>42</v>
      </c>
      <c r="B47">
        <v>2022</v>
      </c>
      <c r="C47" t="s">
        <v>97</v>
      </c>
      <c r="D47" s="52" t="s">
        <v>95</v>
      </c>
      <c r="E47" t="s">
        <v>94</v>
      </c>
      <c r="F47" t="str">
        <f>'5th round - case study'!F46</f>
        <v>RU cheap</v>
      </c>
      <c r="G47" s="40">
        <v>112839.28346065</v>
      </c>
      <c r="H47" s="40">
        <v>32475.296737799999</v>
      </c>
      <c r="I47" s="40">
        <v>12913.956197149997</v>
      </c>
      <c r="J47" s="2">
        <v>112839.28346065</v>
      </c>
      <c r="K47" s="2">
        <v>32475.296737799999</v>
      </c>
      <c r="L47" s="2">
        <v>12913.956197149997</v>
      </c>
      <c r="M47" s="40">
        <v>112838.23454189999</v>
      </c>
      <c r="N47" s="40">
        <v>32475.296737799999</v>
      </c>
      <c r="O47" s="40">
        <v>12913.956197149997</v>
      </c>
    </row>
    <row r="48" spans="1:15">
      <c r="A48">
        <f>'5th round - case study'!A47</f>
        <v>43</v>
      </c>
      <c r="B48">
        <v>2022</v>
      </c>
      <c r="C48" t="s">
        <v>97</v>
      </c>
      <c r="D48" s="52" t="s">
        <v>95</v>
      </c>
      <c r="E48" t="s">
        <v>94</v>
      </c>
      <c r="F48" t="str">
        <f>'5th round - case study'!F47</f>
        <v>LNG cheap</v>
      </c>
      <c r="G48" s="40">
        <v>115798.51761359998</v>
      </c>
      <c r="H48" s="40">
        <v>32475.296737799999</v>
      </c>
      <c r="I48" s="40">
        <v>12913.956197149997</v>
      </c>
      <c r="J48" s="2">
        <v>115798.51758804999</v>
      </c>
      <c r="K48" s="2">
        <v>32475.296737799999</v>
      </c>
      <c r="L48" s="2">
        <v>12913.956197149997</v>
      </c>
      <c r="M48" s="40">
        <v>115798.51769390001</v>
      </c>
      <c r="N48" s="40">
        <v>32475.296737799999</v>
      </c>
      <c r="O48" s="40">
        <v>12913.956197149997</v>
      </c>
    </row>
    <row r="49" spans="1:15">
      <c r="A49">
        <f>'5th round - case study'!A48</f>
        <v>44</v>
      </c>
      <c r="B49">
        <v>2022</v>
      </c>
      <c r="C49" t="s">
        <v>97</v>
      </c>
      <c r="D49" s="52" t="s">
        <v>95</v>
      </c>
      <c r="E49" t="s">
        <v>94</v>
      </c>
      <c r="F49" t="str">
        <f>'5th round - case study'!F48</f>
        <v>AZ cheap</v>
      </c>
      <c r="G49" s="40">
        <v>123408.80089794999</v>
      </c>
      <c r="H49" s="40">
        <v>32475.296737799999</v>
      </c>
      <c r="I49" s="40">
        <v>12913.956197149997</v>
      </c>
      <c r="J49" s="2">
        <v>123408.80108409999</v>
      </c>
      <c r="K49" s="2">
        <v>32475.296737799999</v>
      </c>
      <c r="L49" s="2">
        <v>12913.956197149997</v>
      </c>
      <c r="M49" s="40">
        <v>123408.80107679999</v>
      </c>
      <c r="N49" s="40">
        <v>32475.296737799999</v>
      </c>
      <c r="O49" s="40">
        <v>12913.956197149997</v>
      </c>
    </row>
    <row r="50" spans="1:15">
      <c r="A50">
        <f>'5th round - case study'!A49</f>
        <v>45</v>
      </c>
      <c r="B50">
        <v>2022</v>
      </c>
      <c r="C50" t="s">
        <v>97</v>
      </c>
      <c r="D50" s="52" t="s">
        <v>95</v>
      </c>
      <c r="E50" t="s">
        <v>94</v>
      </c>
      <c r="F50" t="str">
        <f>'5th round - case study'!F49</f>
        <v>DZ cheap</v>
      </c>
      <c r="G50" s="40">
        <v>121309.31613469998</v>
      </c>
      <c r="H50" s="40">
        <v>32475.296737799999</v>
      </c>
      <c r="I50" s="40">
        <v>12913.956197149997</v>
      </c>
      <c r="J50" s="2">
        <v>121309.3161201</v>
      </c>
      <c r="K50" s="2">
        <v>32475.296737799999</v>
      </c>
      <c r="L50" s="2">
        <v>12913.956197149997</v>
      </c>
      <c r="M50" s="40">
        <v>121309.3161201</v>
      </c>
      <c r="N50" s="40">
        <v>32475.296737799999</v>
      </c>
      <c r="O50" s="40">
        <v>12913.956197149997</v>
      </c>
    </row>
    <row r="51" spans="1:15">
      <c r="A51">
        <f>'5th round - case study'!A50</f>
        <v>46</v>
      </c>
      <c r="B51">
        <v>2022</v>
      </c>
      <c r="C51" t="s">
        <v>97</v>
      </c>
      <c r="D51" s="52" t="s">
        <v>95</v>
      </c>
      <c r="E51" t="s">
        <v>94</v>
      </c>
      <c r="F51" t="str">
        <f>'5th round - case study'!F50</f>
        <v>LY cheap</v>
      </c>
      <c r="G51" s="40">
        <v>123430.63939909999</v>
      </c>
      <c r="H51" s="40">
        <v>32475.296737799999</v>
      </c>
      <c r="I51" s="40">
        <v>12913.956197149997</v>
      </c>
      <c r="J51" s="2">
        <v>123430.63958525</v>
      </c>
      <c r="K51" s="2">
        <v>32475.296737799999</v>
      </c>
      <c r="L51" s="2">
        <v>12913.956197149997</v>
      </c>
      <c r="M51" s="40">
        <v>123430.63939909999</v>
      </c>
      <c r="N51" s="40">
        <v>32475.296737799999</v>
      </c>
      <c r="O51" s="40">
        <v>12913.956197149997</v>
      </c>
    </row>
    <row r="52" spans="1:15">
      <c r="A52">
        <f>'5th round - case study'!A51</f>
        <v>47</v>
      </c>
      <c r="B52">
        <v>2022</v>
      </c>
      <c r="C52" t="s">
        <v>97</v>
      </c>
      <c r="D52" s="52" t="s">
        <v>95</v>
      </c>
      <c r="E52" t="s">
        <v>94</v>
      </c>
      <c r="F52" t="str">
        <f>'5th round - case study'!F51</f>
        <v>NO expensive</v>
      </c>
      <c r="G52" s="40">
        <v>130092.4649311</v>
      </c>
      <c r="H52" s="40">
        <v>32475.296737799999</v>
      </c>
      <c r="I52" s="40">
        <v>12913.956197149997</v>
      </c>
      <c r="J52" s="2">
        <v>130092.46501869999</v>
      </c>
      <c r="K52" s="2">
        <v>32475.296737799999</v>
      </c>
      <c r="L52" s="2">
        <v>12913.956197149997</v>
      </c>
      <c r="M52" s="40">
        <v>130092.46502234999</v>
      </c>
      <c r="N52" s="40">
        <v>32475.296737799999</v>
      </c>
      <c r="O52" s="40">
        <v>12913.956197149997</v>
      </c>
    </row>
    <row r="53" spans="1:15">
      <c r="A53">
        <f>'5th round - case study'!A52</f>
        <v>48</v>
      </c>
      <c r="B53">
        <v>2022</v>
      </c>
      <c r="C53" t="s">
        <v>97</v>
      </c>
      <c r="D53" s="52" t="s">
        <v>95</v>
      </c>
      <c r="E53" t="s">
        <v>94</v>
      </c>
      <c r="F53" t="str">
        <f>'5th round - case study'!F52</f>
        <v>RU expensive</v>
      </c>
      <c r="G53" s="40">
        <v>133008.01703014999</v>
      </c>
      <c r="H53" s="40">
        <v>32475.296737799999</v>
      </c>
      <c r="I53" s="40">
        <v>12913.956197149997</v>
      </c>
      <c r="J53" s="2">
        <v>133008.01703014999</v>
      </c>
      <c r="K53" s="2">
        <v>32475.296737799999</v>
      </c>
      <c r="L53" s="2">
        <v>12913.956197149997</v>
      </c>
      <c r="M53" s="40">
        <v>133008.01704109999</v>
      </c>
      <c r="N53" s="40">
        <v>32475.296737799999</v>
      </c>
      <c r="O53" s="40">
        <v>12913.956197149997</v>
      </c>
    </row>
    <row r="54" spans="1:15">
      <c r="A54">
        <f>'5th round - case study'!A53</f>
        <v>49</v>
      </c>
      <c r="B54">
        <v>2022</v>
      </c>
      <c r="C54" t="s">
        <v>97</v>
      </c>
      <c r="D54" s="52" t="s">
        <v>95</v>
      </c>
      <c r="E54" t="s">
        <v>94</v>
      </c>
      <c r="F54" t="str">
        <f>'5th round - case study'!F53</f>
        <v>LNG expensive</v>
      </c>
      <c r="G54" s="40">
        <v>129479.2692746</v>
      </c>
      <c r="H54" s="40">
        <v>32475.296737799999</v>
      </c>
      <c r="I54" s="40">
        <v>12913.956197149997</v>
      </c>
      <c r="J54" s="2">
        <v>129479.2692746</v>
      </c>
      <c r="K54" s="2">
        <v>32475.296737799999</v>
      </c>
      <c r="L54" s="2">
        <v>12913.956197149997</v>
      </c>
      <c r="M54" s="40">
        <v>129479.26927824999</v>
      </c>
      <c r="N54" s="40">
        <v>32475.296737799999</v>
      </c>
      <c r="O54" s="40">
        <v>12913.956197149997</v>
      </c>
    </row>
    <row r="55" spans="1:15">
      <c r="A55">
        <f>'5th round - case study'!A54</f>
        <v>50</v>
      </c>
      <c r="B55">
        <v>2022</v>
      </c>
      <c r="C55" t="s">
        <v>97</v>
      </c>
      <c r="D55" s="52" t="s">
        <v>95</v>
      </c>
      <c r="E55" t="s">
        <v>94</v>
      </c>
      <c r="F55" t="str">
        <f>'5th round - case study'!F54</f>
        <v>AZ expensive</v>
      </c>
      <c r="G55" s="40">
        <v>124147.84215235</v>
      </c>
      <c r="H55" s="40">
        <v>32475.296737799999</v>
      </c>
      <c r="I55" s="40">
        <v>12913.956197149997</v>
      </c>
      <c r="J55" s="2">
        <v>124147.84215235</v>
      </c>
      <c r="K55" s="2">
        <v>32475.296737799999</v>
      </c>
      <c r="L55" s="2">
        <v>12913.956197149997</v>
      </c>
      <c r="M55" s="40">
        <v>124147.84215235</v>
      </c>
      <c r="N55" s="40">
        <v>32475.296737799999</v>
      </c>
      <c r="O55" s="40">
        <v>12913.956197149997</v>
      </c>
    </row>
    <row r="56" spans="1:15">
      <c r="A56">
        <f>'5th round - case study'!A55</f>
        <v>51</v>
      </c>
      <c r="B56">
        <v>2022</v>
      </c>
      <c r="C56" t="s">
        <v>97</v>
      </c>
      <c r="D56" s="52" t="s">
        <v>95</v>
      </c>
      <c r="E56" t="s">
        <v>94</v>
      </c>
      <c r="F56" t="str">
        <f>'5th round - case study'!F55</f>
        <v>DZ expensive</v>
      </c>
      <c r="G56" s="40">
        <v>124868.31322145001</v>
      </c>
      <c r="H56" s="40">
        <v>32475.296737799999</v>
      </c>
      <c r="I56" s="40">
        <v>12913.956197149997</v>
      </c>
      <c r="J56" s="2">
        <v>124868.31322145001</v>
      </c>
      <c r="K56" s="2">
        <v>32475.296737799999</v>
      </c>
      <c r="L56" s="2">
        <v>12913.956197149997</v>
      </c>
      <c r="M56" s="40">
        <v>124868.31322145001</v>
      </c>
      <c r="N56" s="40">
        <v>32475.296737799999</v>
      </c>
      <c r="O56" s="40">
        <v>12913.956197149997</v>
      </c>
    </row>
    <row r="57" spans="1:15">
      <c r="A57">
        <f>'5th round - case study'!A56</f>
        <v>52</v>
      </c>
      <c r="B57">
        <v>2022</v>
      </c>
      <c r="C57" t="s">
        <v>97</v>
      </c>
      <c r="D57" s="52" t="s">
        <v>95</v>
      </c>
      <c r="E57" t="s">
        <v>94</v>
      </c>
      <c r="F57" t="str">
        <f>'5th round - case study'!F56</f>
        <v>LY expensive</v>
      </c>
      <c r="G57" s="40">
        <v>124524.19725124999</v>
      </c>
      <c r="H57" s="40">
        <v>32475.296737799999</v>
      </c>
      <c r="I57" s="40">
        <v>12913.956197149997</v>
      </c>
      <c r="J57" s="2">
        <v>124524.19725854999</v>
      </c>
      <c r="K57" s="2">
        <v>32475.296737799999</v>
      </c>
      <c r="L57" s="2">
        <v>12913.956197149997</v>
      </c>
      <c r="M57" s="40">
        <v>124524.19725854999</v>
      </c>
      <c r="N57" s="40">
        <v>32475.296737799999</v>
      </c>
      <c r="O57" s="40">
        <v>12913.956197149997</v>
      </c>
    </row>
    <row r="58" spans="1:15">
      <c r="G58"/>
      <c r="H58"/>
      <c r="I58"/>
      <c r="J58"/>
      <c r="K58"/>
      <c r="L58"/>
      <c r="M58"/>
      <c r="N58"/>
      <c r="O58"/>
    </row>
    <row r="59" spans="1:15">
      <c r="G59"/>
      <c r="H59"/>
      <c r="I59"/>
      <c r="J59"/>
      <c r="K59"/>
      <c r="L59"/>
      <c r="M59"/>
      <c r="N59"/>
      <c r="O59"/>
    </row>
    <row r="60" spans="1:15" ht="15.75">
      <c r="B60" s="1" t="s">
        <v>103</v>
      </c>
      <c r="E60" s="53" t="s">
        <v>102</v>
      </c>
      <c r="F60" s="53"/>
      <c r="G60"/>
      <c r="H60"/>
      <c r="I60"/>
      <c r="J60"/>
      <c r="K60"/>
      <c r="L60"/>
      <c r="M60"/>
      <c r="N60"/>
      <c r="O60"/>
    </row>
    <row r="61" spans="1:15" ht="15.75">
      <c r="B61" s="1"/>
      <c r="G61"/>
      <c r="H61"/>
      <c r="I61"/>
      <c r="J61"/>
      <c r="K61"/>
      <c r="L61"/>
      <c r="M61"/>
      <c r="N61"/>
      <c r="O61"/>
    </row>
    <row r="62" spans="1:15" ht="15.75">
      <c r="B62" t="s">
        <v>0</v>
      </c>
      <c r="C62" t="s">
        <v>98</v>
      </c>
      <c r="D62" s="52" t="s">
        <v>99</v>
      </c>
      <c r="E62" t="s">
        <v>100</v>
      </c>
      <c r="F62" t="s">
        <v>101</v>
      </c>
      <c r="G62" s="48" t="s">
        <v>104</v>
      </c>
      <c r="H62" s="48"/>
      <c r="I62" s="48"/>
      <c r="J62" s="48" t="s">
        <v>91</v>
      </c>
      <c r="K62" s="48"/>
      <c r="L62" s="48"/>
      <c r="M62" s="49" t="s">
        <v>92</v>
      </c>
      <c r="N62" s="49"/>
      <c r="O62" s="49"/>
    </row>
    <row r="63" spans="1:15">
      <c r="G63" s="54" t="s">
        <v>20</v>
      </c>
      <c r="H63" s="54" t="s">
        <v>21</v>
      </c>
      <c r="I63" s="54" t="s">
        <v>22</v>
      </c>
      <c r="J63" s="55" t="s">
        <v>20</v>
      </c>
      <c r="K63" s="55" t="s">
        <v>21</v>
      </c>
      <c r="L63" s="55" t="s">
        <v>22</v>
      </c>
      <c r="M63" s="54" t="s">
        <v>20</v>
      </c>
      <c r="N63" s="54" t="s">
        <v>21</v>
      </c>
      <c r="O63" s="54" t="s">
        <v>22</v>
      </c>
    </row>
    <row r="64" spans="1:15">
      <c r="A64">
        <f>A6</f>
        <v>1</v>
      </c>
      <c r="B64">
        <f t="shared" ref="B64:F64" si="0">B6</f>
        <v>2022</v>
      </c>
      <c r="C64" t="str">
        <f t="shared" si="0"/>
        <v>Low</v>
      </c>
      <c r="D64" s="52" t="str">
        <f t="shared" si="0"/>
        <v>Green</v>
      </c>
      <c r="E64" t="str">
        <f t="shared" si="0"/>
        <v>AS+AW</v>
      </c>
      <c r="F64" t="str">
        <f t="shared" si="0"/>
        <v>Ref</v>
      </c>
      <c r="G64" s="46" t="s">
        <v>105</v>
      </c>
      <c r="H64" s="46" t="s">
        <v>105</v>
      </c>
      <c r="I64" s="46" t="s">
        <v>105</v>
      </c>
      <c r="J64" s="2">
        <f>J6-$G6</f>
        <v>-8.1760001194197685E-4</v>
      </c>
      <c r="K64" s="2">
        <f>K6-$H6</f>
        <v>0</v>
      </c>
      <c r="L64" s="2">
        <f>L6-$I6</f>
        <v>0</v>
      </c>
      <c r="M64" s="2">
        <f>M6-$G6</f>
        <v>-1.7665999912424013E-3</v>
      </c>
      <c r="N64" s="2">
        <f t="shared" ref="N64" si="1">N6-$H6</f>
        <v>0</v>
      </c>
      <c r="O64" s="2">
        <f t="shared" ref="O64" si="2">O6-$I6</f>
        <v>0</v>
      </c>
    </row>
    <row r="65" spans="1:15">
      <c r="A65">
        <f t="shared" ref="A65:F65" si="3">A7</f>
        <v>2</v>
      </c>
      <c r="B65">
        <f t="shared" si="3"/>
        <v>2022</v>
      </c>
      <c r="C65" t="str">
        <f t="shared" si="3"/>
        <v>Low</v>
      </c>
      <c r="D65" s="52" t="str">
        <f t="shared" si="3"/>
        <v>Green</v>
      </c>
      <c r="E65" t="str">
        <f t="shared" si="3"/>
        <v>AS+AW</v>
      </c>
      <c r="F65" t="str">
        <f t="shared" si="3"/>
        <v>NO cheap</v>
      </c>
      <c r="G65" s="46" t="s">
        <v>105</v>
      </c>
      <c r="H65" s="46" t="s">
        <v>105</v>
      </c>
      <c r="I65" s="46" t="s">
        <v>105</v>
      </c>
      <c r="J65" s="2">
        <f t="shared" ref="J65:J115" si="4">J7-$G7</f>
        <v>-8.431499736616388E-4</v>
      </c>
      <c r="K65" s="2">
        <f t="shared" ref="K65:K115" si="5">K7-$H7</f>
        <v>0</v>
      </c>
      <c r="L65" s="2">
        <f t="shared" ref="L65:L115" si="6">L7-$I7</f>
        <v>0</v>
      </c>
      <c r="M65" s="2">
        <f t="shared" ref="M65" si="7">M7-$G7</f>
        <v>-7.62849987950176E-4</v>
      </c>
      <c r="N65" s="2">
        <f t="shared" ref="N65" si="8">N7-$H7</f>
        <v>0</v>
      </c>
      <c r="O65" s="2">
        <f t="shared" ref="O65" si="9">O7-$I7</f>
        <v>0</v>
      </c>
    </row>
    <row r="66" spans="1:15">
      <c r="A66">
        <f t="shared" ref="A66:F66" si="10">A8</f>
        <v>3</v>
      </c>
      <c r="B66">
        <f t="shared" si="10"/>
        <v>2022</v>
      </c>
      <c r="C66" t="str">
        <f t="shared" si="10"/>
        <v>Low</v>
      </c>
      <c r="D66" s="52" t="str">
        <f t="shared" si="10"/>
        <v>Green</v>
      </c>
      <c r="E66" t="str">
        <f t="shared" si="10"/>
        <v>AS+AW</v>
      </c>
      <c r="F66" t="str">
        <f t="shared" si="10"/>
        <v>RU cheap</v>
      </c>
      <c r="G66" s="46" t="s">
        <v>105</v>
      </c>
      <c r="H66" s="46" t="s">
        <v>105</v>
      </c>
      <c r="I66" s="46" t="s">
        <v>105</v>
      </c>
      <c r="J66" s="2">
        <f t="shared" si="4"/>
        <v>2.1900006686337292E-5</v>
      </c>
      <c r="K66" s="2">
        <f t="shared" si="5"/>
        <v>0</v>
      </c>
      <c r="L66" s="2">
        <f t="shared" si="6"/>
        <v>0</v>
      </c>
      <c r="M66" s="2">
        <f t="shared" ref="M66" si="11">M8-$G8</f>
        <v>-4.3799998820759356E-5</v>
      </c>
      <c r="N66" s="2">
        <f t="shared" ref="N66" si="12">N8-$H8</f>
        <v>0</v>
      </c>
      <c r="O66" s="2">
        <f t="shared" ref="O66" si="13">O8-$I8</f>
        <v>0</v>
      </c>
    </row>
    <row r="67" spans="1:15">
      <c r="A67">
        <f t="shared" ref="A67:F67" si="14">A9</f>
        <v>4</v>
      </c>
      <c r="B67">
        <f t="shared" si="14"/>
        <v>2022</v>
      </c>
      <c r="C67" t="str">
        <f t="shared" si="14"/>
        <v>Low</v>
      </c>
      <c r="D67" s="52" t="str">
        <f t="shared" si="14"/>
        <v>Green</v>
      </c>
      <c r="E67" t="str">
        <f t="shared" si="14"/>
        <v>AS+AW</v>
      </c>
      <c r="F67" t="str">
        <f t="shared" si="14"/>
        <v>LNG cheap</v>
      </c>
      <c r="G67" s="46" t="s">
        <v>105</v>
      </c>
      <c r="H67" s="46" t="s">
        <v>105</v>
      </c>
      <c r="I67" s="46" t="s">
        <v>105</v>
      </c>
      <c r="J67" s="2">
        <f t="shared" si="4"/>
        <v>0</v>
      </c>
      <c r="K67" s="2">
        <f t="shared" si="5"/>
        <v>0</v>
      </c>
      <c r="L67" s="2">
        <f t="shared" si="6"/>
        <v>0</v>
      </c>
      <c r="M67" s="2">
        <f t="shared" ref="M67" si="15">M9-$G9</f>
        <v>-5.6647999881533906E-3</v>
      </c>
      <c r="N67" s="2">
        <f t="shared" ref="N67" si="16">N9-$H9</f>
        <v>0</v>
      </c>
      <c r="O67" s="2">
        <f t="shared" ref="O67" si="17">O9-$I9</f>
        <v>0</v>
      </c>
    </row>
    <row r="68" spans="1:15">
      <c r="A68">
        <f t="shared" ref="A68:F68" si="18">A10</f>
        <v>5</v>
      </c>
      <c r="B68">
        <f t="shared" si="18"/>
        <v>2022</v>
      </c>
      <c r="C68" t="str">
        <f t="shared" si="18"/>
        <v>Low</v>
      </c>
      <c r="D68" s="52" t="str">
        <f t="shared" si="18"/>
        <v>Green</v>
      </c>
      <c r="E68" t="str">
        <f t="shared" si="18"/>
        <v>AS+AW</v>
      </c>
      <c r="F68" t="str">
        <f t="shared" si="18"/>
        <v>AZ cheap</v>
      </c>
      <c r="G68" s="46" t="s">
        <v>105</v>
      </c>
      <c r="H68" s="46" t="s">
        <v>105</v>
      </c>
      <c r="I68" s="46" t="s">
        <v>105</v>
      </c>
      <c r="J68" s="2">
        <f t="shared" si="4"/>
        <v>-8.7599997641518712E-5</v>
      </c>
      <c r="K68" s="2">
        <f t="shared" si="5"/>
        <v>0</v>
      </c>
      <c r="L68" s="2">
        <f t="shared" si="6"/>
        <v>0</v>
      </c>
      <c r="M68" s="2">
        <f t="shared" ref="M68" si="19">M10-$G10</f>
        <v>-4.927500121993944E-4</v>
      </c>
      <c r="N68" s="2">
        <f t="shared" ref="N68" si="20">N10-$H10</f>
        <v>0</v>
      </c>
      <c r="O68" s="2">
        <f t="shared" ref="O68" si="21">O10-$I10</f>
        <v>0</v>
      </c>
    </row>
    <row r="69" spans="1:15">
      <c r="A69">
        <f t="shared" ref="A69:F69" si="22">A11</f>
        <v>6</v>
      </c>
      <c r="B69">
        <f t="shared" si="22"/>
        <v>2022</v>
      </c>
      <c r="C69" t="str">
        <f t="shared" si="22"/>
        <v>Low</v>
      </c>
      <c r="D69" s="52" t="str">
        <f t="shared" si="22"/>
        <v>Green</v>
      </c>
      <c r="E69" t="str">
        <f t="shared" si="22"/>
        <v>AS+AW</v>
      </c>
      <c r="F69" t="str">
        <f t="shared" si="22"/>
        <v>DZ cheap</v>
      </c>
      <c r="G69" s="46" t="s">
        <v>105</v>
      </c>
      <c r="H69" s="46" t="s">
        <v>105</v>
      </c>
      <c r="I69" s="46" t="s">
        <v>105</v>
      </c>
      <c r="J69" s="2">
        <f t="shared" si="4"/>
        <v>-1.6790002700872719E-4</v>
      </c>
      <c r="K69" s="2">
        <f t="shared" si="5"/>
        <v>0</v>
      </c>
      <c r="L69" s="2">
        <f t="shared" si="6"/>
        <v>0</v>
      </c>
      <c r="M69" s="2">
        <f t="shared" ref="M69" si="23">M11-$G11</f>
        <v>-1.4600009308196604E-5</v>
      </c>
      <c r="N69" s="2">
        <f t="shared" ref="N69" si="24">N11-$H11</f>
        <v>0</v>
      </c>
      <c r="O69" s="2">
        <f t="shared" ref="O69" si="25">O11-$I11</f>
        <v>0</v>
      </c>
    </row>
    <row r="70" spans="1:15">
      <c r="A70">
        <f t="shared" ref="A70:F70" si="26">A12</f>
        <v>7</v>
      </c>
      <c r="B70">
        <f t="shared" si="26"/>
        <v>2022</v>
      </c>
      <c r="C70" t="str">
        <f t="shared" si="26"/>
        <v>Low</v>
      </c>
      <c r="D70" s="52" t="str">
        <f t="shared" si="26"/>
        <v>Green</v>
      </c>
      <c r="E70" t="str">
        <f t="shared" si="26"/>
        <v>AS+AW</v>
      </c>
      <c r="F70" t="str">
        <f t="shared" si="26"/>
        <v>LY cheap</v>
      </c>
      <c r="G70" s="46" t="s">
        <v>105</v>
      </c>
      <c r="H70" s="46" t="s">
        <v>105</v>
      </c>
      <c r="I70" s="46" t="s">
        <v>105</v>
      </c>
      <c r="J70" s="2">
        <f t="shared" si="4"/>
        <v>-4.3435000407043844E-4</v>
      </c>
      <c r="K70" s="2">
        <f t="shared" si="5"/>
        <v>0</v>
      </c>
      <c r="L70" s="2">
        <f t="shared" si="6"/>
        <v>0</v>
      </c>
      <c r="M70" s="2">
        <f t="shared" ref="M70" si="27">M12-$G12</f>
        <v>-5.1830001757480204E-4</v>
      </c>
      <c r="N70" s="2">
        <f t="shared" ref="N70" si="28">N12-$H12</f>
        <v>0</v>
      </c>
      <c r="O70" s="2">
        <f t="shared" ref="O70" si="29">O12-$I12</f>
        <v>0</v>
      </c>
    </row>
    <row r="71" spans="1:15">
      <c r="A71">
        <f t="shared" ref="A71:F71" si="30">A13</f>
        <v>8</v>
      </c>
      <c r="B71">
        <f t="shared" si="30"/>
        <v>2022</v>
      </c>
      <c r="C71" t="str">
        <f t="shared" si="30"/>
        <v>Low</v>
      </c>
      <c r="D71" s="52" t="str">
        <f t="shared" si="30"/>
        <v>Green</v>
      </c>
      <c r="E71" t="str">
        <f t="shared" si="30"/>
        <v>AS+AW</v>
      </c>
      <c r="F71" t="str">
        <f t="shared" si="30"/>
        <v>NO expensive</v>
      </c>
      <c r="G71" s="46" t="s">
        <v>105</v>
      </c>
      <c r="H71" s="46" t="s">
        <v>105</v>
      </c>
      <c r="I71" s="46" t="s">
        <v>105</v>
      </c>
      <c r="J71" s="2">
        <f t="shared" si="4"/>
        <v>-2.1169999672565609E-4</v>
      </c>
      <c r="K71" s="2">
        <f t="shared" si="5"/>
        <v>0</v>
      </c>
      <c r="L71" s="2">
        <f t="shared" si="6"/>
        <v>0</v>
      </c>
      <c r="M71" s="2">
        <f t="shared" ref="M71" si="31">M13-$G13</f>
        <v>-6.0590000066440552E-4</v>
      </c>
      <c r="N71" s="2">
        <f t="shared" ref="N71" si="32">N13-$H13</f>
        <v>0</v>
      </c>
      <c r="O71" s="2">
        <f t="shared" ref="O71" si="33">O13-$I13</f>
        <v>0</v>
      </c>
    </row>
    <row r="72" spans="1:15">
      <c r="A72">
        <f t="shared" ref="A72:F72" si="34">A14</f>
        <v>9</v>
      </c>
      <c r="B72">
        <f t="shared" si="34"/>
        <v>2022</v>
      </c>
      <c r="C72" t="str">
        <f t="shared" si="34"/>
        <v>Low</v>
      </c>
      <c r="D72" s="52" t="str">
        <f t="shared" si="34"/>
        <v>Green</v>
      </c>
      <c r="E72" t="str">
        <f t="shared" si="34"/>
        <v>AS+AW</v>
      </c>
      <c r="F72" t="str">
        <f t="shared" si="34"/>
        <v>RU expensive</v>
      </c>
      <c r="G72" s="46" t="s">
        <v>105</v>
      </c>
      <c r="H72" s="46" t="s">
        <v>105</v>
      </c>
      <c r="I72" s="46" t="s">
        <v>105</v>
      </c>
      <c r="J72" s="2">
        <f t="shared" si="4"/>
        <v>-2.2593500034417957E-3</v>
      </c>
      <c r="K72" s="2">
        <f t="shared" si="5"/>
        <v>0</v>
      </c>
      <c r="L72" s="2">
        <f t="shared" si="6"/>
        <v>0</v>
      </c>
      <c r="M72" s="2">
        <f t="shared" ref="M72" si="35">M14-$G14</f>
        <v>-6.0590000066440552E-4</v>
      </c>
      <c r="N72" s="2">
        <f t="shared" ref="N72" si="36">N14-$H14</f>
        <v>0</v>
      </c>
      <c r="O72" s="2">
        <f t="shared" ref="O72" si="37">O14-$I14</f>
        <v>0</v>
      </c>
    </row>
    <row r="73" spans="1:15">
      <c r="A73">
        <f t="shared" ref="A73:F73" si="38">A15</f>
        <v>10</v>
      </c>
      <c r="B73">
        <f t="shared" si="38"/>
        <v>2022</v>
      </c>
      <c r="C73" t="str">
        <f t="shared" si="38"/>
        <v>Low</v>
      </c>
      <c r="D73" s="52" t="str">
        <f t="shared" si="38"/>
        <v>Green</v>
      </c>
      <c r="E73" t="str">
        <f t="shared" si="38"/>
        <v>AS+AW</v>
      </c>
      <c r="F73" t="str">
        <f t="shared" si="38"/>
        <v>LNG expensive</v>
      </c>
      <c r="G73" s="46" t="s">
        <v>105</v>
      </c>
      <c r="H73" s="46" t="s">
        <v>105</v>
      </c>
      <c r="I73" s="46" t="s">
        <v>105</v>
      </c>
      <c r="J73" s="2">
        <f t="shared" si="4"/>
        <v>-2.5550005375407636E-5</v>
      </c>
      <c r="K73" s="2">
        <f t="shared" si="5"/>
        <v>0</v>
      </c>
      <c r="L73" s="2">
        <f t="shared" si="6"/>
        <v>0</v>
      </c>
      <c r="M73" s="2">
        <f t="shared" ref="M73" si="39">M15-$G15</f>
        <v>7.2999973781406879E-6</v>
      </c>
      <c r="N73" s="2">
        <f t="shared" ref="N73" si="40">N15-$H15</f>
        <v>0</v>
      </c>
      <c r="O73" s="2">
        <f t="shared" ref="O73" si="41">O15-$I15</f>
        <v>0</v>
      </c>
    </row>
    <row r="74" spans="1:15">
      <c r="A74">
        <f t="shared" ref="A74:F74" si="42">A16</f>
        <v>11</v>
      </c>
      <c r="B74">
        <f t="shared" si="42"/>
        <v>2022</v>
      </c>
      <c r="C74" t="str">
        <f t="shared" si="42"/>
        <v>Low</v>
      </c>
      <c r="D74" s="52" t="str">
        <f t="shared" si="42"/>
        <v>Green</v>
      </c>
      <c r="E74" t="str">
        <f t="shared" si="42"/>
        <v>AS+AW</v>
      </c>
      <c r="F74" t="str">
        <f t="shared" si="42"/>
        <v>AZ expensive</v>
      </c>
      <c r="G74" s="46" t="s">
        <v>105</v>
      </c>
      <c r="H74" s="46" t="s">
        <v>105</v>
      </c>
      <c r="I74" s="46" t="s">
        <v>105</v>
      </c>
      <c r="J74" s="2">
        <f t="shared" si="4"/>
        <v>-1.5695001638960093E-4</v>
      </c>
      <c r="K74" s="2">
        <f t="shared" si="5"/>
        <v>0</v>
      </c>
      <c r="L74" s="2">
        <f t="shared" si="6"/>
        <v>0</v>
      </c>
      <c r="M74" s="2">
        <f t="shared" ref="M74" si="43">M16-$G16</f>
        <v>-1.109600008931011E-3</v>
      </c>
      <c r="N74" s="2">
        <f t="shared" ref="N74" si="44">N16-$H16</f>
        <v>0</v>
      </c>
      <c r="O74" s="2">
        <f t="shared" ref="O74" si="45">O16-$I16</f>
        <v>0</v>
      </c>
    </row>
    <row r="75" spans="1:15">
      <c r="A75">
        <f t="shared" ref="A75:F75" si="46">A17</f>
        <v>12</v>
      </c>
      <c r="B75">
        <f t="shared" si="46"/>
        <v>2022</v>
      </c>
      <c r="C75" t="str">
        <f t="shared" si="46"/>
        <v>Low</v>
      </c>
      <c r="D75" s="52" t="str">
        <f t="shared" si="46"/>
        <v>Green</v>
      </c>
      <c r="E75" t="str">
        <f t="shared" si="46"/>
        <v>AS+AW</v>
      </c>
      <c r="F75" t="str">
        <f t="shared" si="46"/>
        <v>DZ expensive</v>
      </c>
      <c r="G75" s="46" t="s">
        <v>105</v>
      </c>
      <c r="H75" s="46" t="s">
        <v>105</v>
      </c>
      <c r="I75" s="46" t="s">
        <v>105</v>
      </c>
      <c r="J75" s="2">
        <f t="shared" si="4"/>
        <v>-9.48999950196594E-5</v>
      </c>
      <c r="K75" s="2">
        <f t="shared" si="5"/>
        <v>0</v>
      </c>
      <c r="L75" s="2">
        <f t="shared" si="6"/>
        <v>0</v>
      </c>
      <c r="M75" s="2">
        <f t="shared" ref="M75" si="47">M17-$G17</f>
        <v>-5.146500188857317E-4</v>
      </c>
      <c r="N75" s="2">
        <f t="shared" ref="N75" si="48">N17-$H17</f>
        <v>0</v>
      </c>
      <c r="O75" s="2">
        <f t="shared" ref="O75" si="49">O17-$I17</f>
        <v>0</v>
      </c>
    </row>
    <row r="76" spans="1:15">
      <c r="A76">
        <f t="shared" ref="A76:F76" si="50">A18</f>
        <v>13</v>
      </c>
      <c r="B76">
        <f t="shared" si="50"/>
        <v>2022</v>
      </c>
      <c r="C76" t="str">
        <f t="shared" si="50"/>
        <v>Low</v>
      </c>
      <c r="D76" s="52" t="str">
        <f t="shared" si="50"/>
        <v>Green</v>
      </c>
      <c r="E76" t="str">
        <f t="shared" si="50"/>
        <v>AS+AW</v>
      </c>
      <c r="F76" t="str">
        <f t="shared" si="50"/>
        <v>LY expensive</v>
      </c>
      <c r="G76" s="46" t="s">
        <v>105</v>
      </c>
      <c r="H76" s="46" t="s">
        <v>105</v>
      </c>
      <c r="I76" s="46" t="s">
        <v>105</v>
      </c>
      <c r="J76" s="2">
        <f t="shared" si="4"/>
        <v>-2.992999943671748E-4</v>
      </c>
      <c r="K76" s="2">
        <f t="shared" si="5"/>
        <v>0</v>
      </c>
      <c r="L76" s="2">
        <f t="shared" si="6"/>
        <v>0</v>
      </c>
      <c r="M76" s="2">
        <f t="shared" ref="M76" si="51">M18-$G18</f>
        <v>-1.7884997942019254E-4</v>
      </c>
      <c r="N76" s="2">
        <f t="shared" ref="N76" si="52">N18-$H18</f>
        <v>0</v>
      </c>
      <c r="O76" s="2">
        <f t="shared" ref="O76" si="53">O18-$I18</f>
        <v>0</v>
      </c>
    </row>
    <row r="77" spans="1:15">
      <c r="A77">
        <f t="shared" ref="A77:F77" si="54">A19</f>
        <v>14</v>
      </c>
      <c r="B77">
        <f t="shared" si="54"/>
        <v>2022</v>
      </c>
      <c r="C77" t="str">
        <f t="shared" si="54"/>
        <v>Low</v>
      </c>
      <c r="D77" s="52" t="str">
        <f t="shared" si="54"/>
        <v>WEO CP</v>
      </c>
      <c r="E77" t="str">
        <f t="shared" si="54"/>
        <v>AS+AW</v>
      </c>
      <c r="F77" t="str">
        <f t="shared" si="54"/>
        <v>Ref</v>
      </c>
      <c r="G77" s="46" t="s">
        <v>105</v>
      </c>
      <c r="H77" s="46" t="s">
        <v>105</v>
      </c>
      <c r="I77" s="46" t="s">
        <v>105</v>
      </c>
      <c r="J77" s="2">
        <f t="shared" si="4"/>
        <v>2.9200018616393209E-5</v>
      </c>
      <c r="K77" s="2">
        <f t="shared" si="5"/>
        <v>0</v>
      </c>
      <c r="L77" s="2">
        <f t="shared" si="6"/>
        <v>0</v>
      </c>
      <c r="M77" s="2">
        <f t="shared" ref="M77" si="55">M19-$G19</f>
        <v>-6.569999095518142E-5</v>
      </c>
      <c r="N77" s="2">
        <f t="shared" ref="N77" si="56">N19-$H19</f>
        <v>0</v>
      </c>
      <c r="O77" s="2">
        <f t="shared" ref="O77" si="57">O19-$I19</f>
        <v>0</v>
      </c>
    </row>
    <row r="78" spans="1:15">
      <c r="A78">
        <f t="shared" ref="A78:F78" si="58">A20</f>
        <v>15</v>
      </c>
      <c r="B78">
        <f t="shared" si="58"/>
        <v>2022</v>
      </c>
      <c r="C78" t="str">
        <f t="shared" si="58"/>
        <v>Low</v>
      </c>
      <c r="D78" s="52" t="str">
        <f t="shared" si="58"/>
        <v>WEO CP</v>
      </c>
      <c r="E78" t="str">
        <f t="shared" si="58"/>
        <v>AS+AW</v>
      </c>
      <c r="F78" t="str">
        <f t="shared" si="58"/>
        <v>NO cheap</v>
      </c>
      <c r="G78" s="46" t="s">
        <v>105</v>
      </c>
      <c r="H78" s="46" t="s">
        <v>105</v>
      </c>
      <c r="I78" s="46" t="s">
        <v>105</v>
      </c>
      <c r="J78" s="2">
        <f t="shared" si="4"/>
        <v>-1.2410001363605261E-4</v>
      </c>
      <c r="K78" s="2">
        <f t="shared" si="5"/>
        <v>0</v>
      </c>
      <c r="L78" s="2">
        <f t="shared" si="6"/>
        <v>0</v>
      </c>
      <c r="M78" s="2">
        <f t="shared" ref="M78" si="59">M20-$G20</f>
        <v>-1.8615000590216368E-4</v>
      </c>
      <c r="N78" s="2">
        <f t="shared" ref="N78" si="60">N20-$H20</f>
        <v>0</v>
      </c>
      <c r="O78" s="2">
        <f t="shared" ref="O78" si="61">O20-$I20</f>
        <v>0</v>
      </c>
    </row>
    <row r="79" spans="1:15">
      <c r="A79">
        <f t="shared" ref="A79:F79" si="62">A21</f>
        <v>16</v>
      </c>
      <c r="B79">
        <f t="shared" si="62"/>
        <v>2022</v>
      </c>
      <c r="C79" t="str">
        <f t="shared" si="62"/>
        <v>Low</v>
      </c>
      <c r="D79" s="52" t="str">
        <f t="shared" si="62"/>
        <v>WEO CP</v>
      </c>
      <c r="E79" t="str">
        <f t="shared" si="62"/>
        <v>AS+AW</v>
      </c>
      <c r="F79" t="str">
        <f t="shared" si="62"/>
        <v>RU cheap</v>
      </c>
      <c r="G79" s="46" t="s">
        <v>105</v>
      </c>
      <c r="H79" s="46" t="s">
        <v>105</v>
      </c>
      <c r="I79" s="46" t="s">
        <v>105</v>
      </c>
      <c r="J79" s="2">
        <f t="shared" si="4"/>
        <v>0</v>
      </c>
      <c r="K79" s="2">
        <f t="shared" si="5"/>
        <v>0</v>
      </c>
      <c r="L79" s="2">
        <f t="shared" si="6"/>
        <v>0</v>
      </c>
      <c r="M79" s="2">
        <f t="shared" ref="M79" si="63">M21-$G21</f>
        <v>0.98824844998307526</v>
      </c>
      <c r="N79" s="2">
        <f t="shared" ref="N79" si="64">N21-$H21</f>
        <v>0</v>
      </c>
      <c r="O79" s="2">
        <f t="shared" ref="O79" si="65">O21-$I21</f>
        <v>0</v>
      </c>
    </row>
    <row r="80" spans="1:15">
      <c r="A80">
        <f t="shared" ref="A80:F80" si="66">A22</f>
        <v>17</v>
      </c>
      <c r="B80">
        <f t="shared" si="66"/>
        <v>2022</v>
      </c>
      <c r="C80" t="str">
        <f t="shared" si="66"/>
        <v>Low</v>
      </c>
      <c r="D80" s="52" t="str">
        <f t="shared" si="66"/>
        <v>WEO CP</v>
      </c>
      <c r="E80" t="str">
        <f t="shared" si="66"/>
        <v>AS+AW</v>
      </c>
      <c r="F80" t="str">
        <f t="shared" si="66"/>
        <v>LNG cheap</v>
      </c>
      <c r="G80" s="46" t="s">
        <v>105</v>
      </c>
      <c r="H80" s="46" t="s">
        <v>105</v>
      </c>
      <c r="I80" s="46" t="s">
        <v>105</v>
      </c>
      <c r="J80" s="2">
        <f t="shared" si="4"/>
        <v>0</v>
      </c>
      <c r="K80" s="2">
        <f t="shared" si="5"/>
        <v>0</v>
      </c>
      <c r="L80" s="2">
        <f t="shared" si="6"/>
        <v>0</v>
      </c>
      <c r="M80" s="2">
        <f t="shared" ref="M80" si="67">M22-$G22</f>
        <v>-6.7890000354964286E-4</v>
      </c>
      <c r="N80" s="2">
        <f t="shared" ref="N80" si="68">N22-$H22</f>
        <v>0</v>
      </c>
      <c r="O80" s="2">
        <f t="shared" ref="O80" si="69">O22-$I22</f>
        <v>0</v>
      </c>
    </row>
    <row r="81" spans="1:15">
      <c r="A81">
        <f t="shared" ref="A81:F81" si="70">A23</f>
        <v>18</v>
      </c>
      <c r="B81">
        <f t="shared" si="70"/>
        <v>2022</v>
      </c>
      <c r="C81" t="str">
        <f t="shared" si="70"/>
        <v>Low</v>
      </c>
      <c r="D81" s="52" t="str">
        <f t="shared" si="70"/>
        <v>WEO CP</v>
      </c>
      <c r="E81" t="str">
        <f t="shared" si="70"/>
        <v>AS+AW</v>
      </c>
      <c r="F81" t="str">
        <f t="shared" si="70"/>
        <v>AZ cheap</v>
      </c>
      <c r="G81" s="46" t="s">
        <v>105</v>
      </c>
      <c r="H81" s="46" t="s">
        <v>105</v>
      </c>
      <c r="I81" s="46" t="s">
        <v>105</v>
      </c>
      <c r="J81" s="2">
        <f t="shared" si="4"/>
        <v>7.2999973781406879E-6</v>
      </c>
      <c r="K81" s="2">
        <f t="shared" si="5"/>
        <v>0</v>
      </c>
      <c r="L81" s="2">
        <f t="shared" si="6"/>
        <v>0</v>
      </c>
      <c r="M81" s="2">
        <f t="shared" ref="M81" si="71">M23-$G23</f>
        <v>-6.5700005507096648E-5</v>
      </c>
      <c r="N81" s="2">
        <f t="shared" ref="N81" si="72">N23-$H23</f>
        <v>0</v>
      </c>
      <c r="O81" s="2">
        <f t="shared" ref="O81" si="73">O23-$I23</f>
        <v>0</v>
      </c>
    </row>
    <row r="82" spans="1:15">
      <c r="A82">
        <f t="shared" ref="A82:F82" si="74">A24</f>
        <v>19</v>
      </c>
      <c r="B82">
        <f t="shared" si="74"/>
        <v>2022</v>
      </c>
      <c r="C82" t="str">
        <f t="shared" si="74"/>
        <v>Low</v>
      </c>
      <c r="D82" s="52" t="str">
        <f t="shared" si="74"/>
        <v>WEO CP</v>
      </c>
      <c r="E82" t="str">
        <f t="shared" si="74"/>
        <v>AS+AW</v>
      </c>
      <c r="F82" t="str">
        <f t="shared" si="74"/>
        <v>DZ cheap</v>
      </c>
      <c r="G82" s="46" t="s">
        <v>105</v>
      </c>
      <c r="H82" s="46" t="s">
        <v>105</v>
      </c>
      <c r="I82" s="46" t="s">
        <v>105</v>
      </c>
      <c r="J82" s="2">
        <f t="shared" si="4"/>
        <v>0</v>
      </c>
      <c r="K82" s="2">
        <f t="shared" si="5"/>
        <v>0</v>
      </c>
      <c r="L82" s="2">
        <f t="shared" si="6"/>
        <v>0</v>
      </c>
      <c r="M82" s="2">
        <f t="shared" ref="M82" si="75">M24-$G24</f>
        <v>0</v>
      </c>
      <c r="N82" s="2">
        <f t="shared" ref="N82" si="76">N24-$H24</f>
        <v>0</v>
      </c>
      <c r="O82" s="2">
        <f t="shared" ref="O82" si="77">O24-$I24</f>
        <v>0</v>
      </c>
    </row>
    <row r="83" spans="1:15">
      <c r="A83">
        <f t="shared" ref="A83:F83" si="78">A25</f>
        <v>20</v>
      </c>
      <c r="B83">
        <f t="shared" si="78"/>
        <v>2022</v>
      </c>
      <c r="C83" t="str">
        <f t="shared" si="78"/>
        <v>Low</v>
      </c>
      <c r="D83" s="52" t="str">
        <f t="shared" si="78"/>
        <v>WEO CP</v>
      </c>
      <c r="E83" t="str">
        <f t="shared" si="78"/>
        <v>AS+AW</v>
      </c>
      <c r="F83" t="str">
        <f t="shared" si="78"/>
        <v>LY cheap</v>
      </c>
      <c r="G83" s="46" t="s">
        <v>105</v>
      </c>
      <c r="H83" s="46" t="s">
        <v>105</v>
      </c>
      <c r="I83" s="46" t="s">
        <v>105</v>
      </c>
      <c r="J83" s="2">
        <f t="shared" si="4"/>
        <v>7.3000002885237336E-5</v>
      </c>
      <c r="K83" s="2">
        <f t="shared" si="5"/>
        <v>0</v>
      </c>
      <c r="L83" s="2">
        <f t="shared" si="6"/>
        <v>0</v>
      </c>
      <c r="M83" s="2">
        <f t="shared" ref="M83" si="79">M25-$G25</f>
        <v>-2.5549990823492408E-5</v>
      </c>
      <c r="N83" s="2">
        <f t="shared" ref="N83" si="80">N25-$H25</f>
        <v>0</v>
      </c>
      <c r="O83" s="2">
        <f t="shared" ref="O83" si="81">O25-$I25</f>
        <v>0</v>
      </c>
    </row>
    <row r="84" spans="1:15">
      <c r="A84">
        <f t="shared" ref="A84:F84" si="82">A26</f>
        <v>21</v>
      </c>
      <c r="B84">
        <f t="shared" si="82"/>
        <v>2022</v>
      </c>
      <c r="C84" t="str">
        <f t="shared" si="82"/>
        <v>Low</v>
      </c>
      <c r="D84" s="52" t="str">
        <f t="shared" si="82"/>
        <v>WEO CP</v>
      </c>
      <c r="E84" t="str">
        <f t="shared" si="82"/>
        <v>AS+AW</v>
      </c>
      <c r="F84" t="str">
        <f t="shared" si="82"/>
        <v>NO expensive</v>
      </c>
      <c r="G84" s="46" t="s">
        <v>105</v>
      </c>
      <c r="H84" s="46" t="s">
        <v>105</v>
      </c>
      <c r="I84" s="46" t="s">
        <v>105</v>
      </c>
      <c r="J84" s="2">
        <f t="shared" si="4"/>
        <v>-8.3950013504363596E-5</v>
      </c>
      <c r="K84" s="2">
        <f t="shared" si="5"/>
        <v>0</v>
      </c>
      <c r="L84" s="2">
        <f t="shared" si="6"/>
        <v>0</v>
      </c>
      <c r="M84" s="2">
        <f t="shared" ref="M84" si="83">M26-$G26</f>
        <v>-1.09500004327856E-4</v>
      </c>
      <c r="N84" s="2">
        <f t="shared" ref="N84" si="84">N26-$H26</f>
        <v>0</v>
      </c>
      <c r="O84" s="2">
        <f t="shared" ref="O84" si="85">O26-$I26</f>
        <v>0</v>
      </c>
    </row>
    <row r="85" spans="1:15">
      <c r="A85">
        <f t="shared" ref="A85:F85" si="86">A27</f>
        <v>22</v>
      </c>
      <c r="B85">
        <f t="shared" si="86"/>
        <v>2022</v>
      </c>
      <c r="C85" t="str">
        <f t="shared" si="86"/>
        <v>Low</v>
      </c>
      <c r="D85" s="52" t="str">
        <f t="shared" si="86"/>
        <v>WEO CP</v>
      </c>
      <c r="E85" t="str">
        <f t="shared" si="86"/>
        <v>AS+AW</v>
      </c>
      <c r="F85" t="str">
        <f t="shared" si="86"/>
        <v>RU expensive</v>
      </c>
      <c r="G85" s="46" t="s">
        <v>105</v>
      </c>
      <c r="H85" s="46" t="s">
        <v>105</v>
      </c>
      <c r="I85" s="46" t="s">
        <v>105</v>
      </c>
      <c r="J85" s="2">
        <f t="shared" si="4"/>
        <v>6.5699976403266191E-5</v>
      </c>
      <c r="K85" s="2">
        <f t="shared" si="5"/>
        <v>0</v>
      </c>
      <c r="L85" s="2">
        <f t="shared" si="6"/>
        <v>0</v>
      </c>
      <c r="M85" s="2">
        <f t="shared" ref="M85" si="87">M27-$G27</f>
        <v>-7.665000157430768E-5</v>
      </c>
      <c r="N85" s="2">
        <f t="shared" ref="N85" si="88">N27-$H27</f>
        <v>0</v>
      </c>
      <c r="O85" s="2">
        <f t="shared" ref="O85" si="89">O27-$I27</f>
        <v>0</v>
      </c>
    </row>
    <row r="86" spans="1:15">
      <c r="A86">
        <f t="shared" ref="A86:F86" si="90">A28</f>
        <v>23</v>
      </c>
      <c r="B86">
        <f t="shared" si="90"/>
        <v>2022</v>
      </c>
      <c r="C86" t="str">
        <f t="shared" si="90"/>
        <v>Low</v>
      </c>
      <c r="D86" s="52" t="str">
        <f t="shared" si="90"/>
        <v>WEO CP</v>
      </c>
      <c r="E86" t="str">
        <f t="shared" si="90"/>
        <v>AS+AW</v>
      </c>
      <c r="F86" t="str">
        <f t="shared" si="90"/>
        <v>LNG expensive</v>
      </c>
      <c r="G86" s="46" t="s">
        <v>105</v>
      </c>
      <c r="H86" s="46" t="s">
        <v>105</v>
      </c>
      <c r="I86" s="46" t="s">
        <v>105</v>
      </c>
      <c r="J86" s="2">
        <f t="shared" si="4"/>
        <v>0</v>
      </c>
      <c r="K86" s="2">
        <f t="shared" si="5"/>
        <v>0</v>
      </c>
      <c r="L86" s="2">
        <f t="shared" si="6"/>
        <v>0</v>
      </c>
      <c r="M86" s="2">
        <f t="shared" ref="M86" si="91">M28-$G28</f>
        <v>-3.649998689070344E-6</v>
      </c>
      <c r="N86" s="2">
        <f t="shared" ref="N86" si="92">N28-$H28</f>
        <v>0</v>
      </c>
      <c r="O86" s="2">
        <f t="shared" ref="O86" si="93">O28-$I28</f>
        <v>0</v>
      </c>
    </row>
    <row r="87" spans="1:15">
      <c r="A87">
        <f t="shared" ref="A87:F87" si="94">A29</f>
        <v>24</v>
      </c>
      <c r="B87">
        <f t="shared" si="94"/>
        <v>2022</v>
      </c>
      <c r="C87" t="str">
        <f t="shared" si="94"/>
        <v>Low</v>
      </c>
      <c r="D87" s="52" t="str">
        <f t="shared" si="94"/>
        <v>WEO CP</v>
      </c>
      <c r="E87" t="str">
        <f t="shared" si="94"/>
        <v>AS+AW</v>
      </c>
      <c r="F87" t="str">
        <f t="shared" si="94"/>
        <v>AZ expensive</v>
      </c>
      <c r="G87" s="46" t="s">
        <v>105</v>
      </c>
      <c r="H87" s="46" t="s">
        <v>105</v>
      </c>
      <c r="I87" s="46" t="s">
        <v>105</v>
      </c>
      <c r="J87" s="2">
        <f t="shared" si="4"/>
        <v>2.1900006686337292E-5</v>
      </c>
      <c r="K87" s="2">
        <f t="shared" si="5"/>
        <v>0</v>
      </c>
      <c r="L87" s="2">
        <f t="shared" si="6"/>
        <v>0</v>
      </c>
      <c r="M87" s="2">
        <f t="shared" ref="M87" si="95">M29-$G29</f>
        <v>-6.2050006818026304E-5</v>
      </c>
      <c r="N87" s="2">
        <f t="shared" ref="N87" si="96">N29-$H29</f>
        <v>0</v>
      </c>
      <c r="O87" s="2">
        <f t="shared" ref="O87" si="97">O29-$I29</f>
        <v>0</v>
      </c>
    </row>
    <row r="88" spans="1:15">
      <c r="A88">
        <f t="shared" ref="A88:F88" si="98">A30</f>
        <v>25</v>
      </c>
      <c r="B88">
        <f t="shared" si="98"/>
        <v>2022</v>
      </c>
      <c r="C88" t="str">
        <f t="shared" si="98"/>
        <v>Low</v>
      </c>
      <c r="D88" s="52" t="str">
        <f t="shared" si="98"/>
        <v>WEO CP</v>
      </c>
      <c r="E88" t="str">
        <f t="shared" si="98"/>
        <v>AS+AW</v>
      </c>
      <c r="F88" t="str">
        <f t="shared" si="98"/>
        <v>DZ expensive</v>
      </c>
      <c r="G88" s="46" t="s">
        <v>105</v>
      </c>
      <c r="H88" s="46" t="s">
        <v>105</v>
      </c>
      <c r="I88" s="46" t="s">
        <v>105</v>
      </c>
      <c r="J88" s="2">
        <f t="shared" si="4"/>
        <v>0</v>
      </c>
      <c r="K88" s="2">
        <f t="shared" si="5"/>
        <v>0</v>
      </c>
      <c r="L88" s="2">
        <f t="shared" si="6"/>
        <v>0</v>
      </c>
      <c r="M88" s="2">
        <f t="shared" ref="M88" si="99">M30-$G30</f>
        <v>-5.8399993577040732E-5</v>
      </c>
      <c r="N88" s="2">
        <f t="shared" ref="N88" si="100">N30-$H30</f>
        <v>0</v>
      </c>
      <c r="O88" s="2">
        <f t="shared" ref="O88" si="101">O30-$I30</f>
        <v>0</v>
      </c>
    </row>
    <row r="89" spans="1:15">
      <c r="A89">
        <f t="shared" ref="A89:F89" si="102">A31</f>
        <v>26</v>
      </c>
      <c r="B89">
        <f t="shared" si="102"/>
        <v>2022</v>
      </c>
      <c r="C89" t="str">
        <f t="shared" si="102"/>
        <v>Low</v>
      </c>
      <c r="D89" s="52" t="str">
        <f t="shared" si="102"/>
        <v>WEO CP</v>
      </c>
      <c r="E89" t="str">
        <f t="shared" si="102"/>
        <v>AS+AW</v>
      </c>
      <c r="F89" t="str">
        <f t="shared" si="102"/>
        <v>LY expensive</v>
      </c>
      <c r="G89" s="46" t="s">
        <v>105</v>
      </c>
      <c r="H89" s="46" t="s">
        <v>105</v>
      </c>
      <c r="I89" s="46" t="s">
        <v>105</v>
      </c>
      <c r="J89" s="2">
        <f t="shared" si="4"/>
        <v>-5.8399979025125504E-5</v>
      </c>
      <c r="K89" s="2">
        <f t="shared" si="5"/>
        <v>0</v>
      </c>
      <c r="L89" s="2">
        <f t="shared" si="6"/>
        <v>0</v>
      </c>
      <c r="M89" s="2">
        <f t="shared" ref="M89" si="103">M31-$G31</f>
        <v>-1.4234997797757387E-4</v>
      </c>
      <c r="N89" s="2">
        <f t="shared" ref="N89" si="104">N31-$H31</f>
        <v>0</v>
      </c>
      <c r="O89" s="2">
        <f t="shared" ref="O89" si="105">O31-$I31</f>
        <v>0</v>
      </c>
    </row>
    <row r="90" spans="1:15">
      <c r="A90">
        <f t="shared" ref="A90:F90" si="106">A32</f>
        <v>27</v>
      </c>
      <c r="B90">
        <f t="shared" si="106"/>
        <v>2022</v>
      </c>
      <c r="C90" t="str">
        <f t="shared" si="106"/>
        <v>High</v>
      </c>
      <c r="D90" s="52" t="str">
        <f t="shared" si="106"/>
        <v>Green</v>
      </c>
      <c r="E90" t="str">
        <f t="shared" si="106"/>
        <v>AS+AW</v>
      </c>
      <c r="F90" t="str">
        <f t="shared" si="106"/>
        <v>Ref</v>
      </c>
      <c r="G90" s="42">
        <f>G32-G6</f>
        <v>-593.87760079999862</v>
      </c>
      <c r="H90" s="42">
        <f t="shared" ref="H90:I90" si="107">H32-H6</f>
        <v>-3.4357450000243261E-2</v>
      </c>
      <c r="I90" s="42">
        <f t="shared" si="107"/>
        <v>7.1887662499975704</v>
      </c>
      <c r="J90" s="2">
        <f t="shared" si="4"/>
        <v>0</v>
      </c>
      <c r="K90" s="2">
        <f t="shared" si="5"/>
        <v>0</v>
      </c>
      <c r="L90" s="2">
        <f t="shared" si="6"/>
        <v>0</v>
      </c>
      <c r="M90" s="2">
        <f t="shared" ref="M90" si="108">M32-$G32</f>
        <v>8.0300000263378024E-5</v>
      </c>
      <c r="N90" s="2">
        <f t="shared" ref="N90" si="109">N32-$H32</f>
        <v>0</v>
      </c>
      <c r="O90" s="2">
        <f t="shared" ref="O90" si="110">O32-$I32</f>
        <v>0</v>
      </c>
    </row>
    <row r="91" spans="1:15">
      <c r="A91">
        <f t="shared" ref="A91:F91" si="111">A33</f>
        <v>28</v>
      </c>
      <c r="B91">
        <f t="shared" si="111"/>
        <v>2022</v>
      </c>
      <c r="C91" t="str">
        <f t="shared" si="111"/>
        <v>High</v>
      </c>
      <c r="D91" s="52" t="str">
        <f t="shared" si="111"/>
        <v>Green</v>
      </c>
      <c r="E91" t="str">
        <f t="shared" si="111"/>
        <v>AS+AW</v>
      </c>
      <c r="F91" t="str">
        <f t="shared" si="111"/>
        <v>NO cheap</v>
      </c>
      <c r="G91" s="42">
        <f t="shared" ref="G91:I91" si="112">G33-G7</f>
        <v>-594.35563399999228</v>
      </c>
      <c r="H91" s="42">
        <f t="shared" si="112"/>
        <v>-3.4357450000243261E-2</v>
      </c>
      <c r="I91" s="42">
        <f t="shared" si="112"/>
        <v>7.1887662499975704</v>
      </c>
      <c r="J91" s="2">
        <f t="shared" si="4"/>
        <v>0</v>
      </c>
      <c r="K91" s="2">
        <f t="shared" si="5"/>
        <v>0</v>
      </c>
      <c r="L91" s="2">
        <f t="shared" si="6"/>
        <v>0</v>
      </c>
      <c r="M91" s="2">
        <f t="shared" ref="M91" si="113">M33-$G33</f>
        <v>8.0300000263378024E-5</v>
      </c>
      <c r="N91" s="2">
        <f t="shared" ref="N91" si="114">N33-$H33</f>
        <v>0</v>
      </c>
      <c r="O91" s="2">
        <f t="shared" ref="O91" si="115">O33-$I33</f>
        <v>0</v>
      </c>
    </row>
    <row r="92" spans="1:15">
      <c r="A92">
        <f t="shared" ref="A92:F92" si="116">A34</f>
        <v>29</v>
      </c>
      <c r="B92">
        <f t="shared" si="116"/>
        <v>2022</v>
      </c>
      <c r="C92" t="str">
        <f t="shared" si="116"/>
        <v>High</v>
      </c>
      <c r="D92" s="52" t="str">
        <f t="shared" si="116"/>
        <v>Green</v>
      </c>
      <c r="E92" t="str">
        <f t="shared" si="116"/>
        <v>AS+AW</v>
      </c>
      <c r="F92" t="str">
        <f t="shared" si="116"/>
        <v>RU cheap</v>
      </c>
      <c r="G92" s="42">
        <f t="shared" ref="G92:I92" si="117">G34-G8</f>
        <v>-599.62544195000373</v>
      </c>
      <c r="H92" s="42">
        <f t="shared" si="117"/>
        <v>-3.4357450000243261E-2</v>
      </c>
      <c r="I92" s="42">
        <f t="shared" si="117"/>
        <v>7.1887662499975704</v>
      </c>
      <c r="J92" s="2">
        <f t="shared" si="4"/>
        <v>0</v>
      </c>
      <c r="K92" s="2">
        <f t="shared" si="5"/>
        <v>0</v>
      </c>
      <c r="L92" s="2">
        <f t="shared" si="6"/>
        <v>0</v>
      </c>
      <c r="M92" s="2">
        <f t="shared" ref="M92" si="118">M34-$G34</f>
        <v>0</v>
      </c>
      <c r="N92" s="2">
        <f t="shared" ref="N92" si="119">N34-$H34</f>
        <v>0</v>
      </c>
      <c r="O92" s="2">
        <f t="shared" ref="O92" si="120">O34-$I34</f>
        <v>0</v>
      </c>
    </row>
    <row r="93" spans="1:15">
      <c r="A93">
        <f t="shared" ref="A93:F93" si="121">A35</f>
        <v>30</v>
      </c>
      <c r="B93">
        <f t="shared" si="121"/>
        <v>2022</v>
      </c>
      <c r="C93" t="str">
        <f t="shared" si="121"/>
        <v>High</v>
      </c>
      <c r="D93" s="52" t="str">
        <f t="shared" si="121"/>
        <v>Green</v>
      </c>
      <c r="E93" t="str">
        <f t="shared" si="121"/>
        <v>AS+AW</v>
      </c>
      <c r="F93" t="str">
        <f t="shared" si="121"/>
        <v>LNG cheap</v>
      </c>
      <c r="G93" s="42">
        <f t="shared" ref="G93:I93" si="122">G35-G9</f>
        <v>-612.06300309998915</v>
      </c>
      <c r="H93" s="42">
        <f t="shared" si="122"/>
        <v>-3.4357450000243261E-2</v>
      </c>
      <c r="I93" s="42">
        <f t="shared" si="122"/>
        <v>7.1887662499975704</v>
      </c>
      <c r="J93" s="2">
        <f t="shared" si="4"/>
        <v>0</v>
      </c>
      <c r="K93" s="2">
        <f t="shared" si="5"/>
        <v>0</v>
      </c>
      <c r="L93" s="2">
        <f t="shared" si="6"/>
        <v>0</v>
      </c>
      <c r="M93" s="2">
        <f t="shared" ref="M93" si="123">M35-$G35</f>
        <v>7.0444999437313527E-4</v>
      </c>
      <c r="N93" s="2">
        <f t="shared" ref="N93" si="124">N35-$H35</f>
        <v>0</v>
      </c>
      <c r="O93" s="2">
        <f t="shared" ref="O93" si="125">O35-$I35</f>
        <v>0</v>
      </c>
    </row>
    <row r="94" spans="1:15">
      <c r="A94">
        <f t="shared" ref="A94:F94" si="126">A36</f>
        <v>31</v>
      </c>
      <c r="B94">
        <f t="shared" si="126"/>
        <v>2022</v>
      </c>
      <c r="C94" t="str">
        <f t="shared" si="126"/>
        <v>High</v>
      </c>
      <c r="D94" s="52" t="str">
        <f t="shared" si="126"/>
        <v>Green</v>
      </c>
      <c r="E94" t="str">
        <f t="shared" si="126"/>
        <v>AS+AW</v>
      </c>
      <c r="F94" t="str">
        <f t="shared" si="126"/>
        <v>AZ cheap</v>
      </c>
      <c r="G94" s="42">
        <f t="shared" ref="G94:I94" si="127">G36-G10</f>
        <v>-726.59937165000883</v>
      </c>
      <c r="H94" s="42">
        <f t="shared" si="127"/>
        <v>-3.4357450000243261E-2</v>
      </c>
      <c r="I94" s="42">
        <f t="shared" si="127"/>
        <v>7.1887662499975704</v>
      </c>
      <c r="J94" s="2">
        <f t="shared" si="4"/>
        <v>0</v>
      </c>
      <c r="K94" s="2">
        <f t="shared" si="5"/>
        <v>0</v>
      </c>
      <c r="L94" s="2">
        <f t="shared" si="6"/>
        <v>0</v>
      </c>
      <c r="M94" s="2">
        <f t="shared" ref="M94" si="128">M36-$G36</f>
        <v>8.0300014815293252E-5</v>
      </c>
      <c r="N94" s="2">
        <f t="shared" ref="N94" si="129">N36-$H36</f>
        <v>0</v>
      </c>
      <c r="O94" s="2">
        <f t="shared" ref="O94" si="130">O36-$I36</f>
        <v>0</v>
      </c>
    </row>
    <row r="95" spans="1:15">
      <c r="A95">
        <f t="shared" ref="A95:F95" si="131">A37</f>
        <v>32</v>
      </c>
      <c r="B95">
        <f t="shared" si="131"/>
        <v>2022</v>
      </c>
      <c r="C95" t="str">
        <f t="shared" si="131"/>
        <v>High</v>
      </c>
      <c r="D95" s="52" t="str">
        <f t="shared" si="131"/>
        <v>Green</v>
      </c>
      <c r="E95" t="str">
        <f t="shared" si="131"/>
        <v>AS+AW</v>
      </c>
      <c r="F95" t="str">
        <f t="shared" si="131"/>
        <v>DZ cheap</v>
      </c>
      <c r="G95" s="42">
        <f t="shared" ref="G95:I95" si="132">G37-G11</f>
        <v>-595.91746170002443</v>
      </c>
      <c r="H95" s="42">
        <f t="shared" si="132"/>
        <v>-3.4357450000243261E-2</v>
      </c>
      <c r="I95" s="42">
        <f t="shared" si="132"/>
        <v>7.1887662499975704</v>
      </c>
      <c r="J95" s="2">
        <f t="shared" si="4"/>
        <v>0</v>
      </c>
      <c r="K95" s="2">
        <f t="shared" si="5"/>
        <v>0</v>
      </c>
      <c r="L95" s="2">
        <f t="shared" si="6"/>
        <v>0</v>
      </c>
      <c r="M95" s="2">
        <f t="shared" ref="M95" si="133">M37-$G37</f>
        <v>3.6500277929008007E-6</v>
      </c>
      <c r="N95" s="2">
        <f t="shared" ref="N95" si="134">N37-$H37</f>
        <v>0</v>
      </c>
      <c r="O95" s="2">
        <f t="shared" ref="O95" si="135">O37-$I37</f>
        <v>0</v>
      </c>
    </row>
    <row r="96" spans="1:15">
      <c r="A96">
        <f t="shared" ref="A96:F96" si="136">A38</f>
        <v>33</v>
      </c>
      <c r="B96">
        <f t="shared" si="136"/>
        <v>2022</v>
      </c>
      <c r="C96" t="str">
        <f t="shared" si="136"/>
        <v>High</v>
      </c>
      <c r="D96" s="52" t="str">
        <f t="shared" si="136"/>
        <v>Green</v>
      </c>
      <c r="E96" t="str">
        <f t="shared" si="136"/>
        <v>AS+AW</v>
      </c>
      <c r="F96" t="str">
        <f t="shared" si="136"/>
        <v>LY cheap</v>
      </c>
      <c r="G96" s="42">
        <f t="shared" ref="G96:I96" si="137">G38-G12</f>
        <v>-591.95877025001391</v>
      </c>
      <c r="H96" s="42">
        <f t="shared" si="137"/>
        <v>-3.4357450000243261E-2</v>
      </c>
      <c r="I96" s="42">
        <f t="shared" si="137"/>
        <v>7.1887662499975704</v>
      </c>
      <c r="J96" s="2">
        <f t="shared" si="4"/>
        <v>0</v>
      </c>
      <c r="K96" s="2">
        <f t="shared" si="5"/>
        <v>0</v>
      </c>
      <c r="L96" s="2">
        <f t="shared" si="6"/>
        <v>0</v>
      </c>
      <c r="M96" s="2">
        <f t="shared" ref="M96" si="138">M38-$G38</f>
        <v>8.0300014815293252E-5</v>
      </c>
      <c r="N96" s="2">
        <f t="shared" ref="N96" si="139">N38-$H38</f>
        <v>0</v>
      </c>
      <c r="O96" s="2">
        <f t="shared" ref="O96" si="140">O38-$I38</f>
        <v>0</v>
      </c>
    </row>
    <row r="97" spans="1:15">
      <c r="A97">
        <f t="shared" ref="A97:F97" si="141">A39</f>
        <v>34</v>
      </c>
      <c r="B97">
        <f t="shared" si="141"/>
        <v>2022</v>
      </c>
      <c r="C97" t="str">
        <f t="shared" si="141"/>
        <v>High</v>
      </c>
      <c r="D97" s="52" t="str">
        <f t="shared" si="141"/>
        <v>Green</v>
      </c>
      <c r="E97" t="str">
        <f t="shared" si="141"/>
        <v>AS+AW</v>
      </c>
      <c r="F97" t="str">
        <f t="shared" si="141"/>
        <v>NO expensive</v>
      </c>
      <c r="G97" s="42">
        <f t="shared" ref="G97:I97" si="142">G39-G13</f>
        <v>-594.51483969998662</v>
      </c>
      <c r="H97" s="42">
        <f t="shared" si="142"/>
        <v>-3.4357450000243261E-2</v>
      </c>
      <c r="I97" s="42">
        <f t="shared" si="142"/>
        <v>7.1887662499975704</v>
      </c>
      <c r="J97" s="2">
        <f t="shared" si="4"/>
        <v>0</v>
      </c>
      <c r="K97" s="2">
        <f t="shared" si="5"/>
        <v>0</v>
      </c>
      <c r="L97" s="2">
        <f t="shared" si="6"/>
        <v>0</v>
      </c>
      <c r="M97" s="2">
        <f t="shared" ref="M97" si="143">M39-$G39</f>
        <v>6.9349989644251764E-5</v>
      </c>
      <c r="N97" s="2">
        <f t="shared" ref="N97" si="144">N39-$H39</f>
        <v>0</v>
      </c>
      <c r="O97" s="2">
        <f t="shared" ref="O97" si="145">O39-$I39</f>
        <v>0</v>
      </c>
    </row>
    <row r="98" spans="1:15">
      <c r="A98">
        <f t="shared" ref="A98:F98" si="146">A40</f>
        <v>35</v>
      </c>
      <c r="B98">
        <f t="shared" si="146"/>
        <v>2022</v>
      </c>
      <c r="C98" t="str">
        <f t="shared" si="146"/>
        <v>High</v>
      </c>
      <c r="D98" s="52" t="str">
        <f t="shared" si="146"/>
        <v>Green</v>
      </c>
      <c r="E98" t="str">
        <f t="shared" si="146"/>
        <v>AS+AW</v>
      </c>
      <c r="F98" t="str">
        <f t="shared" si="146"/>
        <v>RU expensive</v>
      </c>
      <c r="G98" s="42">
        <f t="shared" ref="G98:I98" si="147">G40-G14</f>
        <v>-600.20367494999664</v>
      </c>
      <c r="H98" s="42">
        <f t="shared" si="147"/>
        <v>-3.4357450000243261E-2</v>
      </c>
      <c r="I98" s="42">
        <f t="shared" si="147"/>
        <v>7.1887662499975704</v>
      </c>
      <c r="J98" s="2">
        <f t="shared" si="4"/>
        <v>0</v>
      </c>
      <c r="K98" s="2">
        <f t="shared" si="5"/>
        <v>0</v>
      </c>
      <c r="L98" s="2">
        <f t="shared" si="6"/>
        <v>0</v>
      </c>
      <c r="M98" s="2">
        <f t="shared" ref="M98" si="148">M40-$G40</f>
        <v>1.7884997942019254E-4</v>
      </c>
      <c r="N98" s="2">
        <f t="shared" ref="N98" si="149">N40-$H40</f>
        <v>0</v>
      </c>
      <c r="O98" s="2">
        <f t="shared" ref="O98" si="150">O40-$I40</f>
        <v>0</v>
      </c>
    </row>
    <row r="99" spans="1:15">
      <c r="A99">
        <f t="shared" ref="A99:F99" si="151">A41</f>
        <v>36</v>
      </c>
      <c r="B99">
        <f t="shared" si="151"/>
        <v>2022</v>
      </c>
      <c r="C99" t="str">
        <f t="shared" si="151"/>
        <v>High</v>
      </c>
      <c r="D99" s="52" t="str">
        <f t="shared" si="151"/>
        <v>Green</v>
      </c>
      <c r="E99" t="str">
        <f t="shared" si="151"/>
        <v>AS+AW</v>
      </c>
      <c r="F99" t="str">
        <f t="shared" si="151"/>
        <v>LNG expensive</v>
      </c>
      <c r="G99" s="42">
        <f t="shared" ref="G99:I99" si="152">G41-G15</f>
        <v>-626.70834340000874</v>
      </c>
      <c r="H99" s="42">
        <f t="shared" si="152"/>
        <v>-3.4357450000243261E-2</v>
      </c>
      <c r="I99" s="42">
        <f t="shared" si="152"/>
        <v>7.1887662499975704</v>
      </c>
      <c r="J99" s="2">
        <f t="shared" si="4"/>
        <v>0</v>
      </c>
      <c r="K99" s="2">
        <f t="shared" si="5"/>
        <v>0</v>
      </c>
      <c r="L99" s="2">
        <f t="shared" si="6"/>
        <v>0</v>
      </c>
      <c r="M99" s="2">
        <f t="shared" ref="M99" si="153">M41-$G41</f>
        <v>0</v>
      </c>
      <c r="N99" s="2">
        <f t="shared" ref="N99" si="154">N41-$H41</f>
        <v>0</v>
      </c>
      <c r="O99" s="2">
        <f t="shared" ref="O99" si="155">O41-$I41</f>
        <v>0</v>
      </c>
    </row>
    <row r="100" spans="1:15">
      <c r="A100">
        <f t="shared" ref="A100:F100" si="156">A42</f>
        <v>37</v>
      </c>
      <c r="B100">
        <f t="shared" si="156"/>
        <v>2022</v>
      </c>
      <c r="C100" t="str">
        <f t="shared" si="156"/>
        <v>High</v>
      </c>
      <c r="D100" s="52" t="str">
        <f t="shared" si="156"/>
        <v>Green</v>
      </c>
      <c r="E100" t="str">
        <f t="shared" si="156"/>
        <v>AS+AW</v>
      </c>
      <c r="F100" t="str">
        <f t="shared" si="156"/>
        <v>AZ expensive</v>
      </c>
      <c r="G100" s="42">
        <f t="shared" ref="G100:I100" si="157">G42-G16</f>
        <v>-594.89483390000532</v>
      </c>
      <c r="H100" s="42">
        <f t="shared" si="157"/>
        <v>-3.4357450000243261E-2</v>
      </c>
      <c r="I100" s="42">
        <f t="shared" si="157"/>
        <v>7.1887662499975704</v>
      </c>
      <c r="J100" s="2">
        <f t="shared" si="4"/>
        <v>-1.4600009308196604E-5</v>
      </c>
      <c r="K100" s="2">
        <f t="shared" si="5"/>
        <v>0</v>
      </c>
      <c r="L100" s="2">
        <f t="shared" si="6"/>
        <v>0</v>
      </c>
      <c r="M100" s="2">
        <f t="shared" ref="M100" si="158">M42-$G42</f>
        <v>6.569999095518142E-5</v>
      </c>
      <c r="N100" s="2">
        <f t="shared" ref="N100" si="159">N42-$H42</f>
        <v>0</v>
      </c>
      <c r="O100" s="2">
        <f t="shared" ref="O100" si="160">O42-$I42</f>
        <v>0</v>
      </c>
    </row>
    <row r="101" spans="1:15">
      <c r="A101">
        <f t="shared" ref="A101:F101" si="161">A43</f>
        <v>38</v>
      </c>
      <c r="B101">
        <f t="shared" si="161"/>
        <v>2022</v>
      </c>
      <c r="C101" t="str">
        <f t="shared" si="161"/>
        <v>High</v>
      </c>
      <c r="D101" s="52" t="str">
        <f t="shared" si="161"/>
        <v>Green</v>
      </c>
      <c r="E101" t="str">
        <f t="shared" si="161"/>
        <v>AS+AW</v>
      </c>
      <c r="F101" t="str">
        <f t="shared" si="161"/>
        <v>DZ expensive</v>
      </c>
      <c r="G101" s="42">
        <f t="shared" ref="G101:I101" si="162">G43-G17</f>
        <v>-610.88578685000539</v>
      </c>
      <c r="H101" s="42">
        <f t="shared" si="162"/>
        <v>-3.4357450000243261E-2</v>
      </c>
      <c r="I101" s="42">
        <f t="shared" si="162"/>
        <v>7.1887662499975704</v>
      </c>
      <c r="J101" s="2">
        <f t="shared" si="4"/>
        <v>-3.649998689070344E-6</v>
      </c>
      <c r="K101" s="2">
        <f t="shared" si="5"/>
        <v>0</v>
      </c>
      <c r="L101" s="2">
        <f t="shared" si="6"/>
        <v>0</v>
      </c>
      <c r="M101" s="2">
        <f t="shared" ref="M101" si="163">M43-$G43</f>
        <v>0</v>
      </c>
      <c r="N101" s="2">
        <f t="shared" ref="N101" si="164">N43-$H43</f>
        <v>0</v>
      </c>
      <c r="O101" s="2">
        <f t="shared" ref="O101" si="165">O43-$I43</f>
        <v>0</v>
      </c>
    </row>
    <row r="102" spans="1:15">
      <c r="A102">
        <f t="shared" ref="A102:F102" si="166">A44</f>
        <v>39</v>
      </c>
      <c r="B102">
        <f t="shared" si="166"/>
        <v>2022</v>
      </c>
      <c r="C102" t="str">
        <f t="shared" si="166"/>
        <v>High</v>
      </c>
      <c r="D102" s="52" t="str">
        <f t="shared" si="166"/>
        <v>Green</v>
      </c>
      <c r="E102" t="str">
        <f t="shared" si="166"/>
        <v>AS+AW</v>
      </c>
      <c r="F102" t="str">
        <f t="shared" si="166"/>
        <v>LY expensive</v>
      </c>
      <c r="G102" s="42">
        <f t="shared" ref="G102:I102" si="167">G44-G18</f>
        <v>-593.87825779998093</v>
      </c>
      <c r="H102" s="42">
        <f t="shared" si="167"/>
        <v>-3.4357450000243261E-2</v>
      </c>
      <c r="I102" s="42">
        <f t="shared" si="167"/>
        <v>7.1887662499975704</v>
      </c>
      <c r="J102" s="2">
        <f t="shared" si="4"/>
        <v>0</v>
      </c>
      <c r="K102" s="2">
        <f t="shared" si="5"/>
        <v>0</v>
      </c>
      <c r="L102" s="2">
        <f t="shared" si="6"/>
        <v>0</v>
      </c>
      <c r="M102" s="2">
        <f t="shared" ref="M102" si="168">M44-$G44</f>
        <v>7.6649987022392452E-5</v>
      </c>
      <c r="N102" s="2">
        <f t="shared" ref="N102" si="169">N44-$H44</f>
        <v>0</v>
      </c>
      <c r="O102" s="2">
        <f t="shared" ref="O102" si="170">O44-$I44</f>
        <v>0</v>
      </c>
    </row>
    <row r="103" spans="1:15">
      <c r="A103">
        <f t="shared" ref="A103:F103" si="171">A45</f>
        <v>40</v>
      </c>
      <c r="B103">
        <f t="shared" si="171"/>
        <v>2022</v>
      </c>
      <c r="C103" t="str">
        <f t="shared" si="171"/>
        <v>High</v>
      </c>
      <c r="D103" s="52" t="str">
        <f t="shared" si="171"/>
        <v>WEO CP</v>
      </c>
      <c r="E103" t="str">
        <f t="shared" si="171"/>
        <v>AS+AW</v>
      </c>
      <c r="F103" t="str">
        <f t="shared" si="171"/>
        <v>Ref</v>
      </c>
      <c r="G103" s="42">
        <f t="shared" ref="G103:I103" si="172">G45-G19</f>
        <v>-228.92827009999019</v>
      </c>
      <c r="H103" s="42">
        <f t="shared" si="172"/>
        <v>-173.21276115000001</v>
      </c>
      <c r="I103" s="42">
        <f t="shared" si="172"/>
        <v>-34.694578600001478</v>
      </c>
      <c r="J103" s="2">
        <f t="shared" si="4"/>
        <v>4.3800013372674584E-5</v>
      </c>
      <c r="K103" s="2">
        <f t="shared" si="5"/>
        <v>0</v>
      </c>
      <c r="L103" s="2">
        <f t="shared" si="6"/>
        <v>0</v>
      </c>
      <c r="M103" s="2">
        <f t="shared" ref="M103" si="173">M45-$G45</f>
        <v>-3.6500132409855723E-6</v>
      </c>
      <c r="N103" s="2">
        <f t="shared" ref="N103" si="174">N45-$H45</f>
        <v>0</v>
      </c>
      <c r="O103" s="2">
        <f t="shared" ref="O103" si="175">O45-$I45</f>
        <v>0</v>
      </c>
    </row>
    <row r="104" spans="1:15">
      <c r="A104">
        <f t="shared" ref="A104:F104" si="176">A46</f>
        <v>41</v>
      </c>
      <c r="B104">
        <f t="shared" si="176"/>
        <v>2022</v>
      </c>
      <c r="C104" t="str">
        <f t="shared" si="176"/>
        <v>High</v>
      </c>
      <c r="D104" s="52" t="str">
        <f t="shared" si="176"/>
        <v>WEO CP</v>
      </c>
      <c r="E104" t="str">
        <f t="shared" si="176"/>
        <v>AS+AW</v>
      </c>
      <c r="F104" t="str">
        <f t="shared" si="176"/>
        <v>NO cheap</v>
      </c>
      <c r="G104" s="42">
        <f t="shared" ref="G104:I104" si="177">G46-G20</f>
        <v>-246.31809285002237</v>
      </c>
      <c r="H104" s="42">
        <f t="shared" si="177"/>
        <v>-173.21276115000001</v>
      </c>
      <c r="I104" s="42">
        <f t="shared" si="177"/>
        <v>-34.694578600001478</v>
      </c>
      <c r="J104" s="2">
        <f t="shared" si="4"/>
        <v>0</v>
      </c>
      <c r="K104" s="2">
        <f t="shared" si="5"/>
        <v>0</v>
      </c>
      <c r="L104" s="2">
        <f t="shared" si="6"/>
        <v>0</v>
      </c>
      <c r="M104" s="2">
        <f t="shared" ref="M104" si="178">M46-$G46</f>
        <v>2.5550019927322865E-5</v>
      </c>
      <c r="N104" s="2">
        <f t="shared" ref="N104" si="179">N46-$H46</f>
        <v>0</v>
      </c>
      <c r="O104" s="2">
        <f t="shared" ref="O104" si="180">O46-$I46</f>
        <v>0</v>
      </c>
    </row>
    <row r="105" spans="1:15">
      <c r="A105">
        <f t="shared" ref="A105:F105" si="181">A47</f>
        <v>42</v>
      </c>
      <c r="B105">
        <f t="shared" si="181"/>
        <v>2022</v>
      </c>
      <c r="C105" t="str">
        <f t="shared" si="181"/>
        <v>High</v>
      </c>
      <c r="D105" s="52" t="str">
        <f t="shared" si="181"/>
        <v>WEO CP</v>
      </c>
      <c r="E105" t="str">
        <f t="shared" si="181"/>
        <v>AS+AW</v>
      </c>
      <c r="F105" t="str">
        <f t="shared" si="181"/>
        <v>RU cheap</v>
      </c>
      <c r="G105" s="42">
        <f t="shared" ref="G105:I105" si="182">G47-G21</f>
        <v>-293.40586685000744</v>
      </c>
      <c r="H105" s="42">
        <f t="shared" si="182"/>
        <v>-173.21276115000001</v>
      </c>
      <c r="I105" s="42">
        <f t="shared" si="182"/>
        <v>-34.694578600001478</v>
      </c>
      <c r="J105" s="2">
        <f t="shared" si="4"/>
        <v>0</v>
      </c>
      <c r="K105" s="2">
        <f t="shared" si="5"/>
        <v>0</v>
      </c>
      <c r="L105" s="2">
        <f t="shared" si="6"/>
        <v>0</v>
      </c>
      <c r="M105" s="2">
        <f t="shared" ref="M105" si="183">M47-$G47</f>
        <v>-1.0489187500061234</v>
      </c>
      <c r="N105" s="2">
        <f t="shared" ref="N105" si="184">N47-$H47</f>
        <v>0</v>
      </c>
      <c r="O105" s="2">
        <f t="shared" ref="O105" si="185">O47-$I47</f>
        <v>0</v>
      </c>
    </row>
    <row r="106" spans="1:15">
      <c r="A106">
        <f t="shared" ref="A106:F106" si="186">A48</f>
        <v>43</v>
      </c>
      <c r="B106">
        <f t="shared" si="186"/>
        <v>2022</v>
      </c>
      <c r="C106" t="str">
        <f t="shared" si="186"/>
        <v>High</v>
      </c>
      <c r="D106" s="52" t="str">
        <f t="shared" si="186"/>
        <v>WEO CP</v>
      </c>
      <c r="E106" t="str">
        <f t="shared" si="186"/>
        <v>AS+AW</v>
      </c>
      <c r="F106" t="str">
        <f t="shared" si="186"/>
        <v>LNG cheap</v>
      </c>
      <c r="G106" s="42">
        <f t="shared" ref="G106:I106" si="187">G48-G22</f>
        <v>-313.95028605002153</v>
      </c>
      <c r="H106" s="42">
        <f t="shared" si="187"/>
        <v>-173.21276115000001</v>
      </c>
      <c r="I106" s="42">
        <f t="shared" si="187"/>
        <v>-34.694578600001478</v>
      </c>
      <c r="J106" s="2">
        <f t="shared" si="4"/>
        <v>-2.5549990823492408E-5</v>
      </c>
      <c r="K106" s="2">
        <f t="shared" si="5"/>
        <v>0</v>
      </c>
      <c r="L106" s="2">
        <f t="shared" si="6"/>
        <v>0</v>
      </c>
      <c r="M106" s="2">
        <f t="shared" ref="M106" si="188">M48-$G48</f>
        <v>8.0300029367208481E-5</v>
      </c>
      <c r="N106" s="2">
        <f t="shared" ref="N106" si="189">N48-$H48</f>
        <v>0</v>
      </c>
      <c r="O106" s="2">
        <f t="shared" ref="O106" si="190">O48-$I48</f>
        <v>0</v>
      </c>
    </row>
    <row r="107" spans="1:15">
      <c r="A107">
        <f t="shared" ref="A107:F107" si="191">A49</f>
        <v>44</v>
      </c>
      <c r="B107">
        <f t="shared" si="191"/>
        <v>2022</v>
      </c>
      <c r="C107" t="str">
        <f t="shared" si="191"/>
        <v>High</v>
      </c>
      <c r="D107" s="52" t="str">
        <f t="shared" si="191"/>
        <v>WEO CP</v>
      </c>
      <c r="E107" t="str">
        <f t="shared" si="191"/>
        <v>AS+AW</v>
      </c>
      <c r="F107" t="str">
        <f t="shared" si="191"/>
        <v>AZ cheap</v>
      </c>
      <c r="G107" s="42">
        <f t="shared" ref="G107:I107" si="192">G49-G23</f>
        <v>-363.61942035001994</v>
      </c>
      <c r="H107" s="42">
        <f t="shared" si="192"/>
        <v>-173.21276115000001</v>
      </c>
      <c r="I107" s="42">
        <f t="shared" si="192"/>
        <v>-34.694578600001478</v>
      </c>
      <c r="J107" s="2">
        <f t="shared" si="4"/>
        <v>1.8615000590216368E-4</v>
      </c>
      <c r="K107" s="2">
        <f t="shared" si="5"/>
        <v>0</v>
      </c>
      <c r="L107" s="2">
        <f t="shared" si="6"/>
        <v>0</v>
      </c>
      <c r="M107" s="2">
        <f t="shared" ref="M107" si="193">M49-$G49</f>
        <v>1.78850008524023E-4</v>
      </c>
      <c r="N107" s="2">
        <f t="shared" ref="N107" si="194">N49-$H49</f>
        <v>0</v>
      </c>
      <c r="O107" s="2">
        <f t="shared" ref="O107" si="195">O49-$I49</f>
        <v>0</v>
      </c>
    </row>
    <row r="108" spans="1:15">
      <c r="A108">
        <f t="shared" ref="A108:F108" si="196">A50</f>
        <v>45</v>
      </c>
      <c r="B108">
        <f t="shared" si="196"/>
        <v>2022</v>
      </c>
      <c r="C108" t="str">
        <f t="shared" si="196"/>
        <v>High</v>
      </c>
      <c r="D108" s="52" t="str">
        <f t="shared" si="196"/>
        <v>WEO CP</v>
      </c>
      <c r="E108" t="str">
        <f t="shared" si="196"/>
        <v>AS+AW</v>
      </c>
      <c r="F108" t="str">
        <f t="shared" si="196"/>
        <v>DZ cheap</v>
      </c>
      <c r="G108" s="42">
        <f t="shared" ref="G108:I108" si="197">G50-G24</f>
        <v>-258.22888965002494</v>
      </c>
      <c r="H108" s="42">
        <f t="shared" si="197"/>
        <v>-173.21276115000001</v>
      </c>
      <c r="I108" s="42">
        <f t="shared" si="197"/>
        <v>-34.694578600001478</v>
      </c>
      <c r="J108" s="2">
        <f t="shared" si="4"/>
        <v>-1.4599980204366148E-5</v>
      </c>
      <c r="K108" s="2">
        <f t="shared" si="5"/>
        <v>0</v>
      </c>
      <c r="L108" s="2">
        <f t="shared" si="6"/>
        <v>0</v>
      </c>
      <c r="M108" s="2">
        <f t="shared" ref="M108" si="198">M50-$G50</f>
        <v>-1.4599980204366148E-5</v>
      </c>
      <c r="N108" s="2">
        <f t="shared" ref="N108" si="199">N50-$H50</f>
        <v>0</v>
      </c>
      <c r="O108" s="2">
        <f t="shared" ref="O108" si="200">O50-$I50</f>
        <v>0</v>
      </c>
    </row>
    <row r="109" spans="1:15">
      <c r="A109">
        <f t="shared" ref="A109:F109" si="201">A51</f>
        <v>46</v>
      </c>
      <c r="B109">
        <f t="shared" si="201"/>
        <v>2022</v>
      </c>
      <c r="C109" t="str">
        <f t="shared" si="201"/>
        <v>High</v>
      </c>
      <c r="D109" s="52" t="str">
        <f t="shared" si="201"/>
        <v>WEO CP</v>
      </c>
      <c r="E109" t="str">
        <f t="shared" si="201"/>
        <v>AS+AW</v>
      </c>
      <c r="F109" t="str">
        <f t="shared" si="201"/>
        <v>LY cheap</v>
      </c>
      <c r="G109" s="42">
        <f t="shared" ref="G109:I109" si="202">G51-G25</f>
        <v>-251.57153420000395</v>
      </c>
      <c r="H109" s="42">
        <f t="shared" si="202"/>
        <v>-173.21276115000001</v>
      </c>
      <c r="I109" s="42">
        <f t="shared" si="202"/>
        <v>-34.694578600001478</v>
      </c>
      <c r="J109" s="2">
        <f t="shared" si="4"/>
        <v>1.8615000590216368E-4</v>
      </c>
      <c r="K109" s="2">
        <f t="shared" si="5"/>
        <v>0</v>
      </c>
      <c r="L109" s="2">
        <f t="shared" si="6"/>
        <v>0</v>
      </c>
      <c r="M109" s="2">
        <f t="shared" ref="M109" si="203">M51-$G51</f>
        <v>0</v>
      </c>
      <c r="N109" s="2">
        <f t="shared" ref="N109" si="204">N51-$H51</f>
        <v>0</v>
      </c>
      <c r="O109" s="2">
        <f t="shared" ref="O109" si="205">O51-$I51</f>
        <v>0</v>
      </c>
    </row>
    <row r="110" spans="1:15">
      <c r="A110">
        <f t="shared" ref="A110:F110" si="206">A52</f>
        <v>47</v>
      </c>
      <c r="B110">
        <f t="shared" si="206"/>
        <v>2022</v>
      </c>
      <c r="C110" t="str">
        <f t="shared" si="206"/>
        <v>High</v>
      </c>
      <c r="D110" s="52" t="str">
        <f t="shared" si="206"/>
        <v>WEO CP</v>
      </c>
      <c r="E110" t="str">
        <f t="shared" si="206"/>
        <v>AS+AW</v>
      </c>
      <c r="F110" t="str">
        <f t="shared" si="206"/>
        <v>NO expensive</v>
      </c>
      <c r="G110" s="42">
        <f t="shared" ref="G110:I110" si="207">G52-G26</f>
        <v>-228.91578345000744</v>
      </c>
      <c r="H110" s="42">
        <f t="shared" si="207"/>
        <v>-173.21276115000001</v>
      </c>
      <c r="I110" s="42">
        <f t="shared" si="207"/>
        <v>-34.694578600001478</v>
      </c>
      <c r="J110" s="2">
        <f t="shared" si="4"/>
        <v>8.7599997641518712E-5</v>
      </c>
      <c r="K110" s="2">
        <f t="shared" si="5"/>
        <v>0</v>
      </c>
      <c r="L110" s="2">
        <f t="shared" si="6"/>
        <v>0</v>
      </c>
      <c r="M110" s="2">
        <f t="shared" ref="M110" si="208">M52-$G52</f>
        <v>9.1249996330589056E-5</v>
      </c>
      <c r="N110" s="2">
        <f t="shared" ref="N110" si="209">N52-$H52</f>
        <v>0</v>
      </c>
      <c r="O110" s="2">
        <f t="shared" ref="O110" si="210">O52-$I52</f>
        <v>0</v>
      </c>
    </row>
    <row r="111" spans="1:15">
      <c r="A111">
        <f t="shared" ref="A111:F111" si="211">A53</f>
        <v>48</v>
      </c>
      <c r="B111">
        <f t="shared" si="211"/>
        <v>2022</v>
      </c>
      <c r="C111" t="str">
        <f t="shared" si="211"/>
        <v>High</v>
      </c>
      <c r="D111" s="52" t="str">
        <f t="shared" si="211"/>
        <v>WEO CP</v>
      </c>
      <c r="E111" t="str">
        <f t="shared" si="211"/>
        <v>AS+AW</v>
      </c>
      <c r="F111" t="str">
        <f t="shared" si="211"/>
        <v>RU expensive</v>
      </c>
      <c r="G111" s="42">
        <f t="shared" ref="G111:I111" si="212">G53-G27</f>
        <v>-225.90488385001663</v>
      </c>
      <c r="H111" s="42">
        <f t="shared" si="212"/>
        <v>-173.21276115000001</v>
      </c>
      <c r="I111" s="42">
        <f t="shared" si="212"/>
        <v>-34.694578600001478</v>
      </c>
      <c r="J111" s="2">
        <f t="shared" si="4"/>
        <v>0</v>
      </c>
      <c r="K111" s="2">
        <f t="shared" si="5"/>
        <v>0</v>
      </c>
      <c r="L111" s="2">
        <f t="shared" si="6"/>
        <v>0</v>
      </c>
      <c r="M111" s="2">
        <f t="shared" ref="M111" si="213">M53-$G53</f>
        <v>1.0949996067211032E-5</v>
      </c>
      <c r="N111" s="2">
        <f t="shared" ref="N111" si="214">N53-$H53</f>
        <v>0</v>
      </c>
      <c r="O111" s="2">
        <f t="shared" ref="O111" si="215">O53-$I53</f>
        <v>0</v>
      </c>
    </row>
    <row r="112" spans="1:15">
      <c r="A112">
        <f t="shared" ref="A112:F112" si="216">A54</f>
        <v>49</v>
      </c>
      <c r="B112">
        <f t="shared" si="216"/>
        <v>2022</v>
      </c>
      <c r="C112" t="str">
        <f t="shared" si="216"/>
        <v>High</v>
      </c>
      <c r="D112" s="52" t="str">
        <f t="shared" si="216"/>
        <v>WEO CP</v>
      </c>
      <c r="E112" t="str">
        <f t="shared" si="216"/>
        <v>AS+AW</v>
      </c>
      <c r="F112" t="str">
        <f t="shared" si="216"/>
        <v>LNG expensive</v>
      </c>
      <c r="G112" s="42">
        <f t="shared" ref="G112:I112" si="217">G54-G28</f>
        <v>-203.07706115000474</v>
      </c>
      <c r="H112" s="42">
        <f t="shared" si="217"/>
        <v>-173.21276115000001</v>
      </c>
      <c r="I112" s="42">
        <f t="shared" si="217"/>
        <v>-34.694578600001478</v>
      </c>
      <c r="J112" s="2">
        <f t="shared" si="4"/>
        <v>0</v>
      </c>
      <c r="K112" s="2">
        <f t="shared" si="5"/>
        <v>0</v>
      </c>
      <c r="L112" s="2">
        <f t="shared" si="6"/>
        <v>0</v>
      </c>
      <c r="M112" s="2">
        <f t="shared" ref="M112" si="218">M54-$G54</f>
        <v>3.649998689070344E-6</v>
      </c>
      <c r="N112" s="2">
        <f t="shared" ref="N112" si="219">N54-$H54</f>
        <v>0</v>
      </c>
      <c r="O112" s="2">
        <f t="shared" ref="O112" si="220">O54-$I54</f>
        <v>0</v>
      </c>
    </row>
    <row r="113" spans="1:15">
      <c r="A113">
        <f t="shared" ref="A113:F113" si="221">A55</f>
        <v>50</v>
      </c>
      <c r="B113">
        <f t="shared" si="221"/>
        <v>2022</v>
      </c>
      <c r="C113" t="str">
        <f t="shared" si="221"/>
        <v>High</v>
      </c>
      <c r="D113" s="52" t="str">
        <f t="shared" si="221"/>
        <v>WEO CP</v>
      </c>
      <c r="E113" t="str">
        <f t="shared" si="221"/>
        <v>AS+AW</v>
      </c>
      <c r="F113" t="str">
        <f t="shared" si="221"/>
        <v>AZ expensive</v>
      </c>
      <c r="G113" s="42">
        <f t="shared" ref="G113:I113" si="222">G55-G29</f>
        <v>-247.04036579999956</v>
      </c>
      <c r="H113" s="42">
        <f t="shared" si="222"/>
        <v>-173.21276115000001</v>
      </c>
      <c r="I113" s="42">
        <f t="shared" si="222"/>
        <v>-34.694578600001478</v>
      </c>
      <c r="J113" s="2">
        <f t="shared" si="4"/>
        <v>0</v>
      </c>
      <c r="K113" s="2">
        <f t="shared" si="5"/>
        <v>0</v>
      </c>
      <c r="L113" s="2">
        <f t="shared" si="6"/>
        <v>0</v>
      </c>
      <c r="M113" s="2">
        <f t="shared" ref="M113" si="223">M55-$G55</f>
        <v>0</v>
      </c>
      <c r="N113" s="2">
        <f t="shared" ref="N113" si="224">N55-$H55</f>
        <v>0</v>
      </c>
      <c r="O113" s="2">
        <f t="shared" ref="O113" si="225">O55-$I55</f>
        <v>0</v>
      </c>
    </row>
    <row r="114" spans="1:15">
      <c r="A114">
        <f t="shared" ref="A114:F114" si="226">A56</f>
        <v>51</v>
      </c>
      <c r="B114">
        <f t="shared" si="226"/>
        <v>2022</v>
      </c>
      <c r="C114" t="str">
        <f t="shared" si="226"/>
        <v>High</v>
      </c>
      <c r="D114" s="52" t="str">
        <f t="shared" si="226"/>
        <v>WEO CP</v>
      </c>
      <c r="E114" t="str">
        <f t="shared" si="226"/>
        <v>AS+AW</v>
      </c>
      <c r="F114" t="str">
        <f t="shared" si="226"/>
        <v>DZ expensive</v>
      </c>
      <c r="G114" s="42">
        <f t="shared" ref="G114:I114" si="227">G56-G30</f>
        <v>-228.41420774998551</v>
      </c>
      <c r="H114" s="42">
        <f t="shared" si="227"/>
        <v>-173.21276115000001</v>
      </c>
      <c r="I114" s="42">
        <f t="shared" si="227"/>
        <v>-34.694578600001478</v>
      </c>
      <c r="J114" s="2">
        <f t="shared" si="4"/>
        <v>0</v>
      </c>
      <c r="K114" s="2">
        <f t="shared" si="5"/>
        <v>0</v>
      </c>
      <c r="L114" s="2">
        <f t="shared" si="6"/>
        <v>0</v>
      </c>
      <c r="M114" s="2">
        <f t="shared" ref="M114" si="228">M56-$G56</f>
        <v>0</v>
      </c>
      <c r="N114" s="2">
        <f t="shared" ref="N114" si="229">N56-$H56</f>
        <v>0</v>
      </c>
      <c r="O114" s="2">
        <f t="shared" ref="O114" si="230">O56-$I56</f>
        <v>0</v>
      </c>
    </row>
    <row r="115" spans="1:15">
      <c r="A115">
        <f t="shared" ref="A115:F115" si="231">A57</f>
        <v>52</v>
      </c>
      <c r="B115">
        <f t="shared" si="231"/>
        <v>2022</v>
      </c>
      <c r="C115" t="str">
        <f t="shared" si="231"/>
        <v>High</v>
      </c>
      <c r="D115" s="52" t="str">
        <f t="shared" si="231"/>
        <v>WEO CP</v>
      </c>
      <c r="E115" t="str">
        <f t="shared" si="231"/>
        <v>AS+AW</v>
      </c>
      <c r="F115" t="str">
        <f t="shared" si="231"/>
        <v>LY expensive</v>
      </c>
      <c r="G115" s="42">
        <f t="shared" ref="G115:I115" si="232">G57-G31</f>
        <v>-228.91571409998869</v>
      </c>
      <c r="H115" s="42">
        <f t="shared" si="232"/>
        <v>-173.21276115000001</v>
      </c>
      <c r="I115" s="42">
        <f t="shared" si="232"/>
        <v>-34.694578600001478</v>
      </c>
      <c r="J115" s="2">
        <f t="shared" si="4"/>
        <v>7.2999973781406879E-6</v>
      </c>
      <c r="K115" s="2">
        <f t="shared" si="5"/>
        <v>0</v>
      </c>
      <c r="L115" s="2">
        <f t="shared" si="6"/>
        <v>0</v>
      </c>
      <c r="M115" s="2">
        <f t="shared" ref="M115" si="233">M57-$G57</f>
        <v>7.2999973781406879E-6</v>
      </c>
      <c r="N115" s="2">
        <f t="shared" ref="N115" si="234">N57-$H57</f>
        <v>0</v>
      </c>
      <c r="O115" s="2">
        <f t="shared" ref="O115" si="235">O57-$I57</f>
        <v>0</v>
      </c>
    </row>
    <row r="116" spans="1:15" s="43" customFormat="1">
      <c r="D116" s="52"/>
      <c r="G116" s="44"/>
      <c r="H116" s="44"/>
      <c r="I116" s="44"/>
      <c r="J116" s="44"/>
      <c r="K116" s="44"/>
      <c r="L116" s="44"/>
    </row>
    <row r="117" spans="1:15" s="43" customFormat="1">
      <c r="D117" s="52"/>
      <c r="G117" s="44"/>
      <c r="H117" s="44"/>
      <c r="I117" s="44"/>
      <c r="J117" s="44"/>
      <c r="K117" s="44"/>
      <c r="L117" s="44"/>
    </row>
    <row r="118" spans="1:15" s="43" customFormat="1">
      <c r="D118" s="52"/>
      <c r="G118" s="44"/>
      <c r="H118" s="44"/>
      <c r="I118" s="44"/>
      <c r="J118" s="44"/>
      <c r="K118" s="44"/>
      <c r="L118" s="44"/>
    </row>
    <row r="119" spans="1:15" s="43" customFormat="1">
      <c r="D119" s="52"/>
      <c r="G119" s="44"/>
      <c r="H119" s="44"/>
      <c r="I119" s="44"/>
      <c r="J119" s="44"/>
      <c r="K119" s="44"/>
      <c r="L119" s="44"/>
    </row>
    <row r="120" spans="1:15" s="43" customFormat="1">
      <c r="D120" s="52"/>
      <c r="G120" s="44"/>
      <c r="H120" s="44"/>
      <c r="I120" s="44"/>
      <c r="J120" s="44"/>
      <c r="K120" s="44"/>
      <c r="L120" s="44"/>
    </row>
    <row r="121" spans="1:15" s="43" customFormat="1">
      <c r="D121" s="52"/>
      <c r="G121" s="44"/>
      <c r="H121" s="44"/>
      <c r="I121" s="44"/>
      <c r="J121" s="44"/>
      <c r="K121" s="44"/>
      <c r="L121" s="44"/>
    </row>
    <row r="122" spans="1:15" s="43" customFormat="1">
      <c r="D122" s="52"/>
      <c r="G122" s="44"/>
      <c r="H122" s="44"/>
      <c r="I122" s="44"/>
      <c r="J122" s="44"/>
      <c r="K122" s="44"/>
      <c r="L122" s="44"/>
    </row>
    <row r="123" spans="1:15" s="43" customFormat="1">
      <c r="D123" s="52"/>
      <c r="G123" s="44"/>
      <c r="H123" s="44"/>
      <c r="I123" s="44"/>
      <c r="J123" s="44"/>
      <c r="K123" s="44"/>
      <c r="L123" s="44"/>
    </row>
    <row r="124" spans="1:15" s="43" customFormat="1">
      <c r="D124" s="52"/>
      <c r="G124" s="44"/>
      <c r="H124" s="44"/>
      <c r="I124" s="44"/>
      <c r="J124" s="44"/>
      <c r="K124" s="44"/>
      <c r="L124" s="44"/>
    </row>
    <row r="125" spans="1:15" s="43" customFormat="1">
      <c r="D125" s="52"/>
      <c r="G125" s="44"/>
      <c r="H125" s="44"/>
      <c r="I125" s="44"/>
      <c r="J125" s="44"/>
      <c r="K125" s="44"/>
      <c r="L125" s="44"/>
    </row>
    <row r="126" spans="1:15" s="43" customFormat="1">
      <c r="D126" s="52"/>
      <c r="G126" s="44"/>
      <c r="H126" s="44"/>
      <c r="I126" s="44"/>
      <c r="J126" s="44"/>
      <c r="K126" s="44"/>
      <c r="L126" s="44"/>
    </row>
    <row r="127" spans="1:15" s="43" customFormat="1">
      <c r="D127" s="52"/>
      <c r="G127" s="44"/>
      <c r="H127" s="44"/>
      <c r="I127" s="44"/>
      <c r="J127" s="44"/>
      <c r="K127" s="44"/>
      <c r="L127" s="44"/>
    </row>
    <row r="128" spans="1:15" s="43" customFormat="1">
      <c r="D128" s="52"/>
      <c r="G128" s="44"/>
      <c r="H128" s="44"/>
      <c r="I128" s="44"/>
      <c r="J128" s="44"/>
      <c r="K128" s="44"/>
      <c r="L128" s="44"/>
    </row>
    <row r="129" spans="4:12" s="43" customFormat="1">
      <c r="D129" s="52"/>
      <c r="G129" s="44"/>
      <c r="H129" s="44"/>
      <c r="I129" s="44"/>
      <c r="J129" s="44"/>
      <c r="K129" s="44"/>
      <c r="L129" s="44"/>
    </row>
    <row r="130" spans="4:12" s="43" customFormat="1">
      <c r="D130" s="52"/>
      <c r="G130" s="44"/>
      <c r="H130" s="44"/>
      <c r="I130" s="44"/>
      <c r="J130" s="44"/>
      <c r="K130" s="44"/>
      <c r="L130" s="44"/>
    </row>
    <row r="131" spans="4:12" s="43" customFormat="1">
      <c r="D131" s="52"/>
      <c r="G131" s="44"/>
      <c r="H131" s="44"/>
      <c r="I131" s="44"/>
      <c r="J131" s="44"/>
      <c r="K131" s="44"/>
      <c r="L131" s="44"/>
    </row>
    <row r="132" spans="4:12" s="43" customFormat="1">
      <c r="D132" s="52"/>
      <c r="G132" s="44"/>
      <c r="H132" s="44"/>
      <c r="I132" s="44"/>
      <c r="J132" s="44"/>
      <c r="K132" s="44"/>
      <c r="L132" s="44"/>
    </row>
    <row r="133" spans="4:12" s="43" customFormat="1">
      <c r="D133" s="52"/>
      <c r="G133" s="44"/>
      <c r="H133" s="44"/>
      <c r="I133" s="44"/>
      <c r="J133" s="44"/>
      <c r="K133" s="44"/>
      <c r="L133" s="44"/>
    </row>
    <row r="134" spans="4:12" s="43" customFormat="1">
      <c r="D134" s="52"/>
      <c r="G134" s="44"/>
      <c r="H134" s="44"/>
      <c r="I134" s="44"/>
      <c r="J134" s="44"/>
      <c r="K134" s="44"/>
      <c r="L134" s="44"/>
    </row>
    <row r="135" spans="4:12" s="43" customFormat="1">
      <c r="D135" s="52"/>
      <c r="G135" s="44"/>
      <c r="H135" s="44"/>
      <c r="I135" s="44"/>
      <c r="J135" s="44"/>
      <c r="K135" s="44"/>
      <c r="L135" s="44"/>
    </row>
    <row r="136" spans="4:12" s="43" customFormat="1">
      <c r="D136" s="52"/>
      <c r="G136" s="44"/>
      <c r="H136" s="44"/>
      <c r="I136" s="44"/>
      <c r="J136" s="44"/>
      <c r="K136" s="44"/>
      <c r="L136" s="44"/>
    </row>
    <row r="137" spans="4:12" s="43" customFormat="1">
      <c r="D137" s="52"/>
      <c r="G137" s="44"/>
      <c r="H137" s="44"/>
      <c r="I137" s="44"/>
      <c r="J137" s="44"/>
      <c r="K137" s="44"/>
      <c r="L137" s="44"/>
    </row>
    <row r="138" spans="4:12" s="43" customFormat="1">
      <c r="D138" s="52"/>
      <c r="G138" s="44"/>
      <c r="H138" s="44"/>
      <c r="I138" s="44"/>
      <c r="J138" s="44"/>
      <c r="K138" s="44"/>
      <c r="L138" s="44"/>
    </row>
    <row r="139" spans="4:12" s="43" customFormat="1">
      <c r="D139" s="52"/>
      <c r="G139" s="44"/>
      <c r="H139" s="44"/>
      <c r="I139" s="44"/>
      <c r="J139" s="44"/>
      <c r="K139" s="44"/>
      <c r="L139" s="44"/>
    </row>
    <row r="140" spans="4:12" s="43" customFormat="1">
      <c r="D140" s="52"/>
      <c r="G140" s="44"/>
      <c r="H140" s="44"/>
      <c r="I140" s="44"/>
      <c r="J140" s="44"/>
      <c r="K140" s="44"/>
      <c r="L140" s="44"/>
    </row>
    <row r="141" spans="4:12" s="43" customFormat="1">
      <c r="D141" s="52"/>
      <c r="G141" s="44"/>
      <c r="H141" s="44"/>
      <c r="I141" s="44"/>
      <c r="J141" s="44"/>
      <c r="K141" s="44"/>
      <c r="L141" s="44"/>
    </row>
    <row r="142" spans="4:12" s="43" customFormat="1">
      <c r="D142" s="52"/>
      <c r="G142" s="44"/>
      <c r="H142" s="44"/>
      <c r="I142" s="44"/>
      <c r="J142" s="44"/>
      <c r="K142" s="44"/>
      <c r="L142" s="44"/>
    </row>
    <row r="143" spans="4:12" s="43" customFormat="1">
      <c r="D143" s="52"/>
      <c r="G143" s="44"/>
      <c r="H143" s="44"/>
      <c r="I143" s="44"/>
      <c r="J143" s="44"/>
      <c r="K143" s="44"/>
      <c r="L143" s="44"/>
    </row>
    <row r="144" spans="4:12" s="43" customFormat="1">
      <c r="D144" s="52"/>
      <c r="G144" s="44"/>
      <c r="H144" s="44"/>
      <c r="I144" s="44"/>
      <c r="J144" s="44"/>
      <c r="K144" s="44"/>
      <c r="L144" s="44"/>
    </row>
    <row r="145" spans="4:12" s="43" customFormat="1">
      <c r="D145" s="52"/>
      <c r="G145" s="44"/>
      <c r="H145" s="44"/>
      <c r="I145" s="44"/>
      <c r="J145" s="44"/>
      <c r="K145" s="44"/>
      <c r="L145" s="44"/>
    </row>
    <row r="146" spans="4:12" s="43" customFormat="1">
      <c r="D146" s="52"/>
      <c r="G146" s="44"/>
      <c r="H146" s="44"/>
      <c r="I146" s="44"/>
      <c r="J146" s="44"/>
      <c r="K146" s="44"/>
      <c r="L146" s="44"/>
    </row>
    <row r="147" spans="4:12" s="43" customFormat="1">
      <c r="D147" s="52"/>
      <c r="G147" s="44"/>
      <c r="H147" s="44"/>
      <c r="I147" s="44"/>
      <c r="J147" s="44"/>
      <c r="K147" s="44"/>
      <c r="L147" s="44"/>
    </row>
    <row r="148" spans="4:12" s="43" customFormat="1">
      <c r="D148" s="52"/>
      <c r="G148" s="44"/>
      <c r="H148" s="44"/>
      <c r="I148" s="44"/>
      <c r="J148" s="44"/>
      <c r="K148" s="44"/>
      <c r="L148" s="44"/>
    </row>
    <row r="149" spans="4:12" s="43" customFormat="1">
      <c r="D149" s="52"/>
      <c r="G149" s="44"/>
      <c r="H149" s="44"/>
      <c r="I149" s="44"/>
      <c r="J149" s="44"/>
      <c r="K149" s="44"/>
      <c r="L149" s="44"/>
    </row>
    <row r="150" spans="4:12" s="43" customFormat="1">
      <c r="D150" s="52"/>
      <c r="G150" s="44"/>
      <c r="H150" s="44"/>
      <c r="I150" s="44"/>
      <c r="J150" s="44"/>
      <c r="K150" s="44"/>
      <c r="L150" s="44"/>
    </row>
    <row r="151" spans="4:12" s="43" customFormat="1">
      <c r="D151" s="52"/>
      <c r="G151" s="44"/>
      <c r="H151" s="44"/>
      <c r="I151" s="44"/>
      <c r="J151" s="44"/>
      <c r="K151" s="44"/>
      <c r="L151" s="44"/>
    </row>
    <row r="152" spans="4:12" s="43" customFormat="1">
      <c r="D152" s="52"/>
      <c r="G152" s="44"/>
      <c r="H152" s="44"/>
      <c r="I152" s="44"/>
      <c r="J152" s="44"/>
      <c r="K152" s="44"/>
      <c r="L152" s="44"/>
    </row>
    <row r="153" spans="4:12" s="43" customFormat="1">
      <c r="D153" s="52"/>
      <c r="G153" s="44"/>
      <c r="H153" s="44"/>
      <c r="I153" s="44"/>
      <c r="J153" s="44"/>
      <c r="K153" s="44"/>
      <c r="L153" s="44"/>
    </row>
    <row r="154" spans="4:12" s="43" customFormat="1">
      <c r="D154" s="52"/>
      <c r="G154" s="44"/>
      <c r="H154" s="44"/>
      <c r="I154" s="44"/>
      <c r="J154" s="44"/>
      <c r="K154" s="44"/>
      <c r="L154" s="44"/>
    </row>
    <row r="155" spans="4:12" s="43" customFormat="1">
      <c r="D155" s="52"/>
      <c r="G155" s="44"/>
      <c r="H155" s="44"/>
      <c r="I155" s="44"/>
      <c r="J155" s="44"/>
      <c r="K155" s="44"/>
      <c r="L155" s="44"/>
    </row>
    <row r="156" spans="4:12" s="43" customFormat="1">
      <c r="D156" s="52"/>
      <c r="G156" s="44"/>
      <c r="H156" s="44"/>
      <c r="I156" s="44"/>
      <c r="J156" s="44"/>
      <c r="K156" s="44"/>
      <c r="L156" s="44"/>
    </row>
    <row r="157" spans="4:12" s="43" customFormat="1">
      <c r="D157" s="52"/>
      <c r="G157" s="44"/>
      <c r="H157" s="44"/>
      <c r="I157" s="44"/>
      <c r="J157" s="44"/>
      <c r="K157" s="44"/>
      <c r="L157" s="44"/>
    </row>
    <row r="158" spans="4:12" s="43" customFormat="1">
      <c r="D158" s="52"/>
      <c r="G158" s="44"/>
      <c r="H158" s="44"/>
      <c r="I158" s="44"/>
      <c r="J158" s="44"/>
      <c r="K158" s="44"/>
      <c r="L158" s="44"/>
    </row>
    <row r="159" spans="4:12" s="43" customFormat="1">
      <c r="D159" s="52"/>
      <c r="G159" s="44"/>
      <c r="H159" s="44"/>
      <c r="I159" s="44"/>
      <c r="J159" s="44"/>
      <c r="K159" s="44"/>
      <c r="L159" s="44"/>
    </row>
    <row r="160" spans="4:12" s="43" customFormat="1">
      <c r="D160" s="52"/>
      <c r="G160" s="44"/>
      <c r="H160" s="44"/>
      <c r="I160" s="44"/>
      <c r="J160" s="44"/>
      <c r="K160" s="44"/>
      <c r="L160" s="44"/>
    </row>
    <row r="161" spans="4:12" s="43" customFormat="1">
      <c r="D161" s="52"/>
      <c r="G161" s="44"/>
      <c r="H161" s="44"/>
      <c r="I161" s="44"/>
      <c r="J161" s="44"/>
      <c r="K161" s="44"/>
      <c r="L161" s="44"/>
    </row>
    <row r="162" spans="4:12" s="43" customFormat="1">
      <c r="D162" s="52"/>
      <c r="G162" s="44"/>
      <c r="H162" s="44"/>
      <c r="I162" s="44"/>
      <c r="J162" s="44"/>
      <c r="K162" s="44"/>
      <c r="L162" s="44"/>
    </row>
    <row r="163" spans="4:12" s="43" customFormat="1">
      <c r="D163" s="52"/>
      <c r="G163" s="44"/>
      <c r="H163" s="44"/>
      <c r="I163" s="44"/>
      <c r="J163" s="44"/>
      <c r="K163" s="44"/>
      <c r="L163" s="44"/>
    </row>
    <row r="164" spans="4:12" s="43" customFormat="1">
      <c r="D164" s="52"/>
      <c r="G164" s="44"/>
      <c r="H164" s="44"/>
      <c r="I164" s="44"/>
      <c r="J164" s="44"/>
      <c r="K164" s="44"/>
      <c r="L164" s="44"/>
    </row>
    <row r="165" spans="4:12" s="43" customFormat="1">
      <c r="D165" s="52"/>
      <c r="G165" s="44"/>
      <c r="H165" s="44"/>
      <c r="I165" s="44"/>
      <c r="J165" s="44"/>
      <c r="K165" s="44"/>
      <c r="L165" s="44"/>
    </row>
    <row r="166" spans="4:12" s="43" customFormat="1">
      <c r="D166" s="52"/>
      <c r="G166" s="44"/>
      <c r="H166" s="44"/>
      <c r="I166" s="44"/>
      <c r="J166" s="44"/>
      <c r="K166" s="44"/>
      <c r="L166" s="44"/>
    </row>
    <row r="167" spans="4:12" s="43" customFormat="1">
      <c r="D167" s="52"/>
      <c r="G167" s="44"/>
      <c r="H167" s="44"/>
      <c r="I167" s="44"/>
      <c r="J167" s="44"/>
      <c r="K167" s="44"/>
      <c r="L167" s="44"/>
    </row>
    <row r="168" spans="4:12" s="43" customFormat="1">
      <c r="D168" s="52"/>
      <c r="G168" s="44"/>
      <c r="H168" s="44"/>
      <c r="I168" s="44"/>
      <c r="J168" s="44"/>
      <c r="K168" s="44"/>
      <c r="L168" s="44"/>
    </row>
    <row r="169" spans="4:12" s="43" customFormat="1">
      <c r="D169" s="52"/>
      <c r="G169" s="44"/>
      <c r="H169" s="44"/>
      <c r="I169" s="44"/>
      <c r="J169" s="44"/>
      <c r="K169" s="44"/>
      <c r="L169" s="44"/>
    </row>
    <row r="170" spans="4:12" s="43" customFormat="1">
      <c r="D170" s="52"/>
      <c r="G170" s="44"/>
      <c r="H170" s="44"/>
      <c r="I170" s="44"/>
      <c r="J170" s="44"/>
      <c r="K170" s="44"/>
      <c r="L170" s="44"/>
    </row>
    <row r="171" spans="4:12" s="43" customFormat="1">
      <c r="D171" s="52"/>
      <c r="G171" s="44"/>
      <c r="H171" s="44"/>
      <c r="I171" s="44"/>
      <c r="J171" s="44"/>
      <c r="K171" s="44"/>
      <c r="L171" s="44"/>
    </row>
    <row r="172" spans="4:12" s="43" customFormat="1">
      <c r="D172" s="52"/>
      <c r="G172" s="44"/>
      <c r="H172" s="44"/>
      <c r="I172" s="44"/>
      <c r="J172" s="44"/>
      <c r="K172" s="44"/>
      <c r="L172" s="44"/>
    </row>
    <row r="173" spans="4:12" s="43" customFormat="1">
      <c r="D173" s="52"/>
      <c r="G173" s="44"/>
      <c r="H173" s="44"/>
      <c r="I173" s="44"/>
      <c r="J173" s="44"/>
      <c r="K173" s="44"/>
      <c r="L173" s="44"/>
    </row>
    <row r="174" spans="4:12" s="43" customFormat="1">
      <c r="D174" s="52"/>
      <c r="G174" s="44"/>
      <c r="H174" s="44"/>
      <c r="I174" s="44"/>
      <c r="J174" s="44"/>
      <c r="K174" s="44"/>
      <c r="L174" s="44"/>
    </row>
    <row r="175" spans="4:12" s="43" customFormat="1">
      <c r="D175" s="52"/>
      <c r="G175" s="44"/>
      <c r="H175" s="44"/>
      <c r="I175" s="44"/>
      <c r="J175" s="44"/>
      <c r="K175" s="44"/>
      <c r="L175" s="44"/>
    </row>
    <row r="176" spans="4:12" s="43" customFormat="1">
      <c r="D176" s="52"/>
      <c r="G176" s="44"/>
      <c r="H176" s="44"/>
      <c r="I176" s="44"/>
      <c r="J176" s="44"/>
      <c r="K176" s="44"/>
      <c r="L176" s="44"/>
    </row>
    <row r="177" spans="4:12" s="43" customFormat="1">
      <c r="D177" s="52"/>
      <c r="G177" s="44"/>
      <c r="H177" s="44"/>
      <c r="I177" s="44"/>
      <c r="J177" s="44"/>
      <c r="K177" s="44"/>
      <c r="L177" s="44"/>
    </row>
    <row r="178" spans="4:12" s="43" customFormat="1">
      <c r="D178" s="52"/>
      <c r="G178" s="44"/>
      <c r="H178" s="44"/>
      <c r="I178" s="44"/>
      <c r="J178" s="44"/>
      <c r="K178" s="44"/>
      <c r="L178" s="44"/>
    </row>
    <row r="179" spans="4:12" s="43" customFormat="1">
      <c r="D179" s="52"/>
      <c r="G179" s="44"/>
      <c r="H179" s="44"/>
      <c r="I179" s="44"/>
      <c r="J179" s="44"/>
      <c r="K179" s="44"/>
      <c r="L179" s="44"/>
    </row>
    <row r="180" spans="4:12" s="43" customFormat="1">
      <c r="D180" s="52"/>
      <c r="G180" s="44"/>
      <c r="H180" s="44"/>
      <c r="I180" s="44"/>
      <c r="J180" s="44"/>
      <c r="K180" s="44"/>
      <c r="L180" s="44"/>
    </row>
    <row r="181" spans="4:12" s="43" customFormat="1">
      <c r="D181" s="52"/>
      <c r="G181" s="44"/>
      <c r="H181" s="44"/>
      <c r="I181" s="44"/>
      <c r="J181" s="44"/>
      <c r="K181" s="44"/>
      <c r="L181" s="44"/>
    </row>
    <row r="182" spans="4:12" s="43" customFormat="1">
      <c r="D182" s="52"/>
      <c r="G182" s="44"/>
      <c r="H182" s="44"/>
      <c r="I182" s="44"/>
      <c r="J182" s="44"/>
      <c r="K182" s="44"/>
      <c r="L182" s="44"/>
    </row>
    <row r="183" spans="4:12" s="43" customFormat="1">
      <c r="D183" s="52"/>
      <c r="G183" s="44"/>
      <c r="H183" s="44"/>
      <c r="I183" s="44"/>
      <c r="J183" s="44"/>
      <c r="K183" s="44"/>
      <c r="L183" s="44"/>
    </row>
    <row r="184" spans="4:12" s="43" customFormat="1">
      <c r="D184" s="52"/>
      <c r="G184" s="44"/>
      <c r="H184" s="44"/>
      <c r="I184" s="44"/>
      <c r="J184" s="44"/>
      <c r="K184" s="44"/>
      <c r="L184" s="44"/>
    </row>
    <row r="185" spans="4:12" s="43" customFormat="1">
      <c r="D185" s="52"/>
      <c r="G185" s="44"/>
      <c r="H185" s="44"/>
      <c r="I185" s="44"/>
      <c r="J185" s="44"/>
      <c r="K185" s="44"/>
      <c r="L185" s="44"/>
    </row>
    <row r="186" spans="4:12" s="43" customFormat="1">
      <c r="D186" s="52"/>
      <c r="G186" s="44"/>
      <c r="H186" s="44"/>
      <c r="I186" s="44"/>
      <c r="J186" s="44"/>
      <c r="K186" s="44"/>
      <c r="L186" s="44"/>
    </row>
    <row r="187" spans="4:12" s="43" customFormat="1">
      <c r="D187" s="52"/>
      <c r="G187" s="44"/>
      <c r="H187" s="44"/>
      <c r="I187" s="44"/>
      <c r="J187" s="44"/>
      <c r="K187" s="44"/>
      <c r="L187" s="44"/>
    </row>
    <row r="188" spans="4:12" s="43" customFormat="1">
      <c r="D188" s="52"/>
      <c r="G188" s="44"/>
      <c r="H188" s="44"/>
      <c r="I188" s="44"/>
      <c r="J188" s="44"/>
      <c r="K188" s="44"/>
      <c r="L188" s="44"/>
    </row>
    <row r="189" spans="4:12" s="43" customFormat="1">
      <c r="D189" s="52"/>
      <c r="G189" s="44"/>
      <c r="H189" s="44"/>
      <c r="I189" s="44"/>
      <c r="J189" s="44"/>
      <c r="K189" s="44"/>
      <c r="L189" s="44"/>
    </row>
    <row r="190" spans="4:12" s="43" customFormat="1">
      <c r="D190" s="52"/>
      <c r="G190" s="44"/>
      <c r="H190" s="44"/>
      <c r="I190" s="44"/>
      <c r="J190" s="44"/>
      <c r="K190" s="44"/>
      <c r="L190" s="44"/>
    </row>
    <row r="191" spans="4:12" s="43" customFormat="1">
      <c r="D191" s="52"/>
      <c r="G191" s="44"/>
      <c r="H191" s="44"/>
      <c r="I191" s="44"/>
      <c r="J191" s="44"/>
      <c r="K191" s="44"/>
      <c r="L191" s="44"/>
    </row>
    <row r="192" spans="4:12" s="43" customFormat="1">
      <c r="D192" s="52"/>
      <c r="G192" s="44"/>
      <c r="H192" s="44"/>
      <c r="I192" s="44"/>
      <c r="J192" s="44"/>
      <c r="K192" s="44"/>
      <c r="L192" s="44"/>
    </row>
    <row r="193" spans="4:12" s="43" customFormat="1">
      <c r="D193" s="52"/>
      <c r="G193" s="44"/>
      <c r="H193" s="44"/>
      <c r="I193" s="44"/>
      <c r="J193" s="44"/>
      <c r="K193" s="44"/>
      <c r="L193" s="44"/>
    </row>
    <row r="194" spans="4:12" s="43" customFormat="1">
      <c r="D194" s="52"/>
      <c r="G194" s="44"/>
      <c r="H194" s="44"/>
      <c r="I194" s="44"/>
      <c r="J194" s="44"/>
      <c r="K194" s="44"/>
      <c r="L194" s="44"/>
    </row>
    <row r="195" spans="4:12" s="43" customFormat="1">
      <c r="D195" s="52"/>
      <c r="G195" s="44"/>
      <c r="H195" s="44"/>
      <c r="I195" s="44"/>
      <c r="J195" s="44"/>
      <c r="K195" s="44"/>
      <c r="L195" s="44"/>
    </row>
    <row r="196" spans="4:12" s="43" customFormat="1">
      <c r="D196" s="52"/>
      <c r="G196" s="44"/>
      <c r="H196" s="44"/>
      <c r="I196" s="44"/>
      <c r="J196" s="44"/>
      <c r="K196" s="44"/>
      <c r="L196" s="44"/>
    </row>
    <row r="197" spans="4:12" s="43" customFormat="1">
      <c r="D197" s="52"/>
      <c r="G197" s="44"/>
      <c r="H197" s="44"/>
      <c r="I197" s="44"/>
      <c r="J197" s="44"/>
      <c r="K197" s="44"/>
      <c r="L197" s="44"/>
    </row>
    <row r="198" spans="4:12" s="43" customFormat="1">
      <c r="D198" s="52"/>
      <c r="G198" s="44"/>
      <c r="H198" s="44"/>
      <c r="I198" s="44"/>
      <c r="J198" s="44"/>
      <c r="K198" s="44"/>
      <c r="L198" s="44"/>
    </row>
    <row r="199" spans="4:12" s="43" customFormat="1">
      <c r="D199" s="52"/>
      <c r="G199" s="44"/>
      <c r="H199" s="44"/>
      <c r="I199" s="44"/>
      <c r="J199" s="44"/>
      <c r="K199" s="44"/>
      <c r="L199" s="44"/>
    </row>
    <row r="200" spans="4:12" s="43" customFormat="1">
      <c r="D200" s="52"/>
      <c r="G200" s="44"/>
      <c r="H200" s="44"/>
      <c r="I200" s="44"/>
      <c r="J200" s="44"/>
      <c r="K200" s="44"/>
      <c r="L200" s="44"/>
    </row>
    <row r="201" spans="4:12" s="43" customFormat="1">
      <c r="D201" s="52"/>
      <c r="G201" s="44"/>
      <c r="H201" s="44"/>
      <c r="I201" s="44"/>
      <c r="J201" s="44"/>
      <c r="K201" s="44"/>
      <c r="L201" s="44"/>
    </row>
    <row r="202" spans="4:12" s="43" customFormat="1">
      <c r="D202" s="52"/>
      <c r="G202" s="44"/>
      <c r="H202" s="44"/>
      <c r="I202" s="44"/>
      <c r="J202" s="44"/>
      <c r="K202" s="44"/>
      <c r="L202" s="44"/>
    </row>
    <row r="203" spans="4:12" s="43" customFormat="1">
      <c r="D203" s="52"/>
      <c r="G203" s="44"/>
      <c r="H203" s="44"/>
      <c r="I203" s="44"/>
      <c r="J203" s="44"/>
      <c r="K203" s="44"/>
      <c r="L203" s="44"/>
    </row>
    <row r="204" spans="4:12" s="43" customFormat="1">
      <c r="D204" s="52"/>
      <c r="G204" s="44"/>
      <c r="H204" s="44"/>
      <c r="I204" s="44"/>
      <c r="J204" s="44"/>
      <c r="K204" s="44"/>
      <c r="L204" s="44"/>
    </row>
    <row r="205" spans="4:12" s="43" customFormat="1">
      <c r="D205" s="52"/>
      <c r="G205" s="44"/>
      <c r="H205" s="44"/>
      <c r="I205" s="44"/>
      <c r="J205" s="44"/>
      <c r="K205" s="44"/>
      <c r="L205" s="44"/>
    </row>
    <row r="206" spans="4:12" s="43" customFormat="1">
      <c r="D206" s="52"/>
      <c r="G206" s="44"/>
      <c r="H206" s="44"/>
      <c r="I206" s="44"/>
      <c r="J206" s="44"/>
      <c r="K206" s="44"/>
      <c r="L206" s="44"/>
    </row>
    <row r="207" spans="4:12" s="43" customFormat="1">
      <c r="D207" s="52"/>
      <c r="G207" s="44"/>
      <c r="H207" s="44"/>
      <c r="I207" s="44"/>
      <c r="J207" s="44"/>
      <c r="K207" s="44"/>
      <c r="L207" s="44"/>
    </row>
    <row r="208" spans="4:12" s="43" customFormat="1">
      <c r="D208" s="52"/>
      <c r="G208" s="44"/>
      <c r="H208" s="44"/>
      <c r="I208" s="44"/>
      <c r="J208" s="44"/>
      <c r="K208" s="44"/>
      <c r="L208" s="44"/>
    </row>
    <row r="209" spans="4:12" s="43" customFormat="1">
      <c r="D209" s="52"/>
      <c r="G209" s="44"/>
      <c r="H209" s="44"/>
      <c r="I209" s="44"/>
      <c r="J209" s="44"/>
      <c r="K209" s="44"/>
      <c r="L209" s="44"/>
    </row>
    <row r="210" spans="4:12" s="43" customFormat="1">
      <c r="D210" s="52"/>
      <c r="G210" s="44"/>
      <c r="H210" s="44"/>
      <c r="I210" s="44"/>
      <c r="J210" s="44"/>
      <c r="K210" s="44"/>
      <c r="L210" s="44"/>
    </row>
    <row r="211" spans="4:12" s="43" customFormat="1">
      <c r="D211" s="52"/>
      <c r="G211" s="44"/>
      <c r="H211" s="44"/>
      <c r="I211" s="44"/>
      <c r="J211" s="44"/>
      <c r="K211" s="44"/>
      <c r="L211" s="44"/>
    </row>
    <row r="212" spans="4:12" s="43" customFormat="1">
      <c r="D212" s="52"/>
      <c r="G212" s="44"/>
      <c r="H212" s="44"/>
      <c r="I212" s="44"/>
      <c r="J212" s="44"/>
      <c r="K212" s="44"/>
      <c r="L212" s="44"/>
    </row>
    <row r="213" spans="4:12" s="43" customFormat="1">
      <c r="D213" s="52"/>
      <c r="G213" s="44"/>
      <c r="H213" s="44"/>
      <c r="I213" s="44"/>
      <c r="J213" s="44"/>
      <c r="K213" s="44"/>
      <c r="L213" s="44"/>
    </row>
    <row r="214" spans="4:12" s="43" customFormat="1">
      <c r="D214" s="52"/>
      <c r="G214" s="44"/>
      <c r="H214" s="44"/>
      <c r="I214" s="44"/>
      <c r="J214" s="44"/>
      <c r="K214" s="44"/>
      <c r="L214" s="44"/>
    </row>
    <row r="215" spans="4:12" s="43" customFormat="1">
      <c r="D215" s="52"/>
      <c r="G215" s="44"/>
      <c r="H215" s="44"/>
      <c r="I215" s="44"/>
      <c r="J215" s="44"/>
      <c r="K215" s="44"/>
      <c r="L215" s="44"/>
    </row>
    <row r="216" spans="4:12" s="43" customFormat="1">
      <c r="D216" s="52"/>
      <c r="G216" s="44"/>
      <c r="H216" s="44"/>
      <c r="I216" s="44"/>
      <c r="J216" s="44"/>
      <c r="K216" s="44"/>
      <c r="L216" s="44"/>
    </row>
    <row r="217" spans="4:12" s="43" customFormat="1">
      <c r="D217" s="52"/>
      <c r="G217" s="44"/>
      <c r="H217" s="44"/>
      <c r="I217" s="44"/>
      <c r="J217" s="44"/>
      <c r="K217" s="44"/>
      <c r="L217" s="44"/>
    </row>
    <row r="218" spans="4:12" s="43" customFormat="1">
      <c r="D218" s="52"/>
      <c r="G218" s="44"/>
      <c r="H218" s="44"/>
      <c r="I218" s="44"/>
      <c r="J218" s="44"/>
      <c r="K218" s="44"/>
      <c r="L218" s="44"/>
    </row>
    <row r="219" spans="4:12" s="43" customFormat="1">
      <c r="D219" s="52"/>
      <c r="G219" s="44"/>
      <c r="H219" s="44"/>
      <c r="I219" s="44"/>
      <c r="J219" s="44"/>
      <c r="K219" s="44"/>
      <c r="L219" s="44"/>
    </row>
    <row r="220" spans="4:12" s="43" customFormat="1">
      <c r="D220" s="52"/>
      <c r="G220" s="44"/>
      <c r="H220" s="44"/>
      <c r="I220" s="44"/>
      <c r="J220" s="44"/>
      <c r="K220" s="44"/>
      <c r="L220" s="44"/>
    </row>
    <row r="221" spans="4:12" s="43" customFormat="1">
      <c r="D221" s="52"/>
      <c r="G221" s="44"/>
      <c r="H221" s="44"/>
      <c r="I221" s="44"/>
      <c r="J221" s="44"/>
      <c r="K221" s="44"/>
      <c r="L221" s="44"/>
    </row>
    <row r="222" spans="4:12" s="43" customFormat="1">
      <c r="D222" s="52"/>
      <c r="G222" s="44"/>
      <c r="H222" s="44"/>
      <c r="I222" s="44"/>
      <c r="J222" s="44"/>
      <c r="K222" s="44"/>
      <c r="L222" s="44"/>
    </row>
    <row r="223" spans="4:12" s="43" customFormat="1">
      <c r="D223" s="52"/>
      <c r="G223" s="44"/>
      <c r="H223" s="44"/>
      <c r="I223" s="44"/>
      <c r="J223" s="44"/>
      <c r="K223" s="44"/>
      <c r="L223" s="44"/>
    </row>
    <row r="224" spans="4:12" s="43" customFormat="1">
      <c r="D224" s="52"/>
      <c r="G224" s="44"/>
      <c r="H224" s="44"/>
      <c r="I224" s="44"/>
      <c r="J224" s="44"/>
      <c r="K224" s="44"/>
      <c r="L224" s="44"/>
    </row>
    <row r="225" spans="4:12" s="43" customFormat="1">
      <c r="D225" s="52"/>
      <c r="G225" s="44"/>
      <c r="H225" s="44"/>
      <c r="I225" s="44"/>
      <c r="J225" s="44"/>
      <c r="K225" s="44"/>
      <c r="L225" s="44"/>
    </row>
    <row r="226" spans="4:12" s="43" customFormat="1">
      <c r="D226" s="52"/>
      <c r="G226" s="44"/>
      <c r="H226" s="44"/>
      <c r="I226" s="44"/>
      <c r="J226" s="44"/>
      <c r="K226" s="44"/>
      <c r="L226" s="44"/>
    </row>
    <row r="227" spans="4:12" s="43" customFormat="1">
      <c r="D227" s="52"/>
      <c r="G227" s="44"/>
      <c r="H227" s="44"/>
      <c r="I227" s="44"/>
      <c r="J227" s="44"/>
      <c r="K227" s="44"/>
      <c r="L227" s="44"/>
    </row>
    <row r="228" spans="4:12" s="43" customFormat="1">
      <c r="D228" s="52"/>
      <c r="G228" s="44"/>
      <c r="H228" s="44"/>
      <c r="I228" s="44"/>
      <c r="J228" s="44"/>
      <c r="K228" s="44"/>
      <c r="L228" s="44"/>
    </row>
    <row r="229" spans="4:12" s="43" customFormat="1">
      <c r="D229" s="52"/>
      <c r="G229" s="44"/>
      <c r="H229" s="44"/>
      <c r="I229" s="44"/>
      <c r="J229" s="44"/>
      <c r="K229" s="44"/>
      <c r="L229" s="44"/>
    </row>
    <row r="230" spans="4:12" s="43" customFormat="1">
      <c r="D230" s="52"/>
      <c r="G230" s="44"/>
      <c r="H230" s="44"/>
      <c r="I230" s="44"/>
      <c r="J230" s="44"/>
      <c r="K230" s="44"/>
      <c r="L230" s="44"/>
    </row>
    <row r="231" spans="4:12" s="43" customFormat="1">
      <c r="D231" s="52"/>
      <c r="G231" s="44"/>
      <c r="H231" s="44"/>
      <c r="I231" s="44"/>
      <c r="J231" s="44"/>
      <c r="K231" s="44"/>
      <c r="L231" s="44"/>
    </row>
    <row r="232" spans="4:12" s="43" customFormat="1">
      <c r="D232" s="52"/>
      <c r="G232" s="44"/>
      <c r="H232" s="44"/>
      <c r="I232" s="44"/>
      <c r="J232" s="44"/>
      <c r="K232" s="44"/>
      <c r="L232" s="44"/>
    </row>
    <row r="233" spans="4:12" s="43" customFormat="1">
      <c r="D233" s="52"/>
      <c r="G233" s="44"/>
      <c r="H233" s="44"/>
      <c r="I233" s="44"/>
      <c r="J233" s="44"/>
      <c r="K233" s="44"/>
      <c r="L233" s="44"/>
    </row>
    <row r="234" spans="4:12" s="43" customFormat="1">
      <c r="D234" s="52"/>
      <c r="G234" s="44"/>
      <c r="H234" s="44"/>
      <c r="I234" s="44"/>
      <c r="J234" s="44"/>
      <c r="K234" s="44"/>
      <c r="L234" s="44"/>
    </row>
    <row r="235" spans="4:12" s="43" customFormat="1">
      <c r="D235" s="52"/>
      <c r="G235" s="44"/>
      <c r="H235" s="44"/>
      <c r="I235" s="44"/>
      <c r="J235" s="44"/>
      <c r="K235" s="44"/>
      <c r="L235" s="44"/>
    </row>
    <row r="236" spans="4:12" s="43" customFormat="1">
      <c r="D236" s="52"/>
      <c r="G236" s="44"/>
      <c r="H236" s="44"/>
      <c r="I236" s="44"/>
      <c r="J236" s="44"/>
      <c r="K236" s="44"/>
      <c r="L236" s="44"/>
    </row>
    <row r="237" spans="4:12" s="43" customFormat="1">
      <c r="D237" s="52"/>
      <c r="G237" s="44"/>
      <c r="H237" s="44"/>
      <c r="I237" s="44"/>
      <c r="J237" s="44"/>
      <c r="K237" s="44"/>
      <c r="L237" s="44"/>
    </row>
    <row r="238" spans="4:12" s="43" customFormat="1">
      <c r="D238" s="52"/>
      <c r="G238" s="44"/>
      <c r="H238" s="44"/>
      <c r="I238" s="44"/>
      <c r="J238" s="44"/>
      <c r="K238" s="44"/>
      <c r="L238" s="44"/>
    </row>
    <row r="239" spans="4:12" s="43" customFormat="1">
      <c r="D239" s="52"/>
      <c r="G239" s="44"/>
      <c r="H239" s="44"/>
      <c r="I239" s="44"/>
      <c r="J239" s="44"/>
      <c r="K239" s="44"/>
      <c r="L239" s="44"/>
    </row>
    <row r="240" spans="4:12" s="43" customFormat="1">
      <c r="D240" s="52"/>
      <c r="G240" s="44"/>
      <c r="H240" s="44"/>
      <c r="I240" s="44"/>
      <c r="J240" s="44"/>
      <c r="K240" s="44"/>
      <c r="L240" s="44"/>
    </row>
    <row r="241" spans="4:12" s="43" customFormat="1">
      <c r="D241" s="52"/>
      <c r="G241" s="44"/>
      <c r="H241" s="44"/>
      <c r="I241" s="44"/>
      <c r="J241" s="44"/>
      <c r="K241" s="44"/>
      <c r="L241" s="44"/>
    </row>
    <row r="242" spans="4:12" s="43" customFormat="1">
      <c r="D242" s="52"/>
      <c r="G242" s="44"/>
      <c r="H242" s="44"/>
      <c r="I242" s="44"/>
      <c r="J242" s="44"/>
      <c r="K242" s="44"/>
      <c r="L242" s="44"/>
    </row>
    <row r="243" spans="4:12" s="43" customFormat="1">
      <c r="D243" s="52"/>
      <c r="G243" s="44"/>
      <c r="H243" s="44"/>
      <c r="I243" s="44"/>
      <c r="J243" s="44"/>
      <c r="K243" s="44"/>
      <c r="L243" s="44"/>
    </row>
    <row r="244" spans="4:12" s="43" customFormat="1">
      <c r="D244" s="52"/>
      <c r="G244" s="44"/>
      <c r="H244" s="44"/>
      <c r="I244" s="44"/>
      <c r="J244" s="44"/>
      <c r="K244" s="44"/>
      <c r="L244" s="44"/>
    </row>
    <row r="245" spans="4:12" s="43" customFormat="1">
      <c r="D245" s="52"/>
      <c r="G245" s="44"/>
      <c r="H245" s="44"/>
      <c r="I245" s="44"/>
      <c r="J245" s="44"/>
      <c r="K245" s="44"/>
      <c r="L245" s="44"/>
    </row>
    <row r="246" spans="4:12" s="43" customFormat="1">
      <c r="D246" s="52"/>
      <c r="G246" s="44"/>
      <c r="H246" s="44"/>
      <c r="I246" s="44"/>
      <c r="J246" s="44"/>
      <c r="K246" s="44"/>
      <c r="L246" s="44"/>
    </row>
    <row r="247" spans="4:12" s="43" customFormat="1">
      <c r="D247" s="52"/>
      <c r="G247" s="44"/>
      <c r="H247" s="44"/>
      <c r="I247" s="44"/>
      <c r="J247" s="44"/>
      <c r="K247" s="44"/>
      <c r="L247" s="44"/>
    </row>
    <row r="248" spans="4:12" s="43" customFormat="1">
      <c r="D248" s="52"/>
      <c r="G248" s="44"/>
      <c r="H248" s="44"/>
      <c r="I248" s="44"/>
      <c r="J248" s="44"/>
      <c r="K248" s="44"/>
      <c r="L248" s="44"/>
    </row>
    <row r="249" spans="4:12" s="43" customFormat="1">
      <c r="D249" s="52"/>
      <c r="G249" s="44"/>
      <c r="H249" s="44"/>
      <c r="I249" s="44"/>
      <c r="J249" s="44"/>
      <c r="K249" s="44"/>
      <c r="L249" s="44"/>
    </row>
    <row r="250" spans="4:12" s="43" customFormat="1">
      <c r="D250" s="52"/>
      <c r="G250" s="44"/>
      <c r="H250" s="44"/>
      <c r="I250" s="44"/>
      <c r="J250" s="44"/>
      <c r="K250" s="44"/>
      <c r="L250" s="44"/>
    </row>
    <row r="251" spans="4:12" s="43" customFormat="1">
      <c r="D251" s="52"/>
      <c r="G251" s="44"/>
      <c r="H251" s="44"/>
      <c r="I251" s="44"/>
      <c r="J251" s="44"/>
      <c r="K251" s="44"/>
      <c r="L251" s="44"/>
    </row>
    <row r="252" spans="4:12" s="43" customFormat="1">
      <c r="D252" s="52"/>
      <c r="G252" s="44"/>
      <c r="H252" s="44"/>
      <c r="I252" s="44"/>
      <c r="J252" s="44"/>
      <c r="K252" s="44"/>
      <c r="L252" s="44"/>
    </row>
    <row r="253" spans="4:12" s="43" customFormat="1">
      <c r="D253" s="52"/>
      <c r="G253" s="44"/>
      <c r="H253" s="44"/>
      <c r="I253" s="44"/>
      <c r="J253" s="44"/>
      <c r="K253" s="44"/>
      <c r="L253" s="44"/>
    </row>
    <row r="254" spans="4:12" s="43" customFormat="1">
      <c r="D254" s="52"/>
      <c r="G254" s="44"/>
      <c r="H254" s="44"/>
      <c r="I254" s="44"/>
      <c r="J254" s="44"/>
      <c r="K254" s="44"/>
      <c r="L254" s="44"/>
    </row>
    <row r="255" spans="4:12" s="43" customFormat="1">
      <c r="D255" s="52"/>
      <c r="G255" s="44"/>
      <c r="H255" s="44"/>
      <c r="I255" s="44"/>
      <c r="J255" s="44"/>
      <c r="K255" s="44"/>
      <c r="L255" s="44"/>
    </row>
    <row r="256" spans="4:12" s="43" customFormat="1">
      <c r="D256" s="52"/>
      <c r="G256" s="44"/>
      <c r="H256" s="44"/>
      <c r="I256" s="44"/>
      <c r="J256" s="44"/>
      <c r="K256" s="44"/>
      <c r="L256" s="44"/>
    </row>
    <row r="257" spans="4:12" s="43" customFormat="1">
      <c r="D257" s="52"/>
      <c r="G257" s="44"/>
      <c r="H257" s="44"/>
      <c r="I257" s="44"/>
      <c r="J257" s="44"/>
      <c r="K257" s="44"/>
      <c r="L257" s="44"/>
    </row>
    <row r="258" spans="4:12" s="43" customFormat="1">
      <c r="D258" s="52"/>
      <c r="G258" s="44"/>
      <c r="H258" s="44"/>
      <c r="I258" s="44"/>
      <c r="J258" s="44"/>
      <c r="K258" s="44"/>
      <c r="L258" s="44"/>
    </row>
    <row r="259" spans="4:12" s="43" customFormat="1">
      <c r="D259" s="52"/>
      <c r="G259" s="44"/>
      <c r="H259" s="44"/>
      <c r="I259" s="44"/>
      <c r="J259" s="44"/>
      <c r="K259" s="44"/>
      <c r="L259" s="44"/>
    </row>
    <row r="260" spans="4:12" s="43" customFormat="1">
      <c r="D260" s="52"/>
      <c r="G260" s="44"/>
      <c r="H260" s="44"/>
      <c r="I260" s="44"/>
      <c r="J260" s="44"/>
      <c r="K260" s="44"/>
      <c r="L260" s="44"/>
    </row>
    <row r="261" spans="4:12" s="43" customFormat="1">
      <c r="D261" s="52"/>
      <c r="G261" s="44"/>
      <c r="H261" s="44"/>
      <c r="I261" s="44"/>
      <c r="J261" s="44"/>
      <c r="K261" s="44"/>
      <c r="L261" s="44"/>
    </row>
    <row r="262" spans="4:12" s="43" customFormat="1">
      <c r="D262" s="52"/>
      <c r="G262" s="44"/>
      <c r="H262" s="44"/>
      <c r="I262" s="44"/>
      <c r="J262" s="44"/>
      <c r="K262" s="44"/>
      <c r="L262" s="44"/>
    </row>
    <row r="263" spans="4:12" s="43" customFormat="1">
      <c r="D263" s="52"/>
      <c r="G263" s="44"/>
      <c r="H263" s="44"/>
      <c r="I263" s="44"/>
      <c r="J263" s="44"/>
      <c r="K263" s="44"/>
      <c r="L263" s="44"/>
    </row>
    <row r="264" spans="4:12" s="43" customFormat="1">
      <c r="D264" s="52"/>
      <c r="G264" s="44"/>
      <c r="H264" s="44"/>
      <c r="I264" s="44"/>
      <c r="J264" s="44"/>
      <c r="K264" s="44"/>
      <c r="L264" s="44"/>
    </row>
    <row r="265" spans="4:12" s="43" customFormat="1">
      <c r="D265" s="52"/>
      <c r="G265" s="44"/>
      <c r="H265" s="44"/>
      <c r="I265" s="44"/>
      <c r="J265" s="44"/>
      <c r="K265" s="44"/>
      <c r="L265" s="44"/>
    </row>
    <row r="266" spans="4:12" s="43" customFormat="1">
      <c r="D266" s="52"/>
      <c r="G266" s="44"/>
      <c r="H266" s="44"/>
      <c r="I266" s="44"/>
      <c r="J266" s="44"/>
      <c r="K266" s="44"/>
      <c r="L266" s="44"/>
    </row>
    <row r="267" spans="4:12" s="43" customFormat="1">
      <c r="D267" s="52"/>
      <c r="G267" s="44"/>
      <c r="H267" s="44"/>
      <c r="I267" s="44"/>
      <c r="J267" s="44"/>
      <c r="K267" s="44"/>
      <c r="L267" s="44"/>
    </row>
    <row r="268" spans="4:12" s="43" customFormat="1">
      <c r="D268" s="52"/>
      <c r="G268" s="44"/>
      <c r="H268" s="44"/>
      <c r="I268" s="44"/>
      <c r="J268" s="44"/>
      <c r="K268" s="44"/>
      <c r="L268" s="44"/>
    </row>
    <row r="269" spans="4:12" s="43" customFormat="1">
      <c r="D269" s="52"/>
      <c r="G269" s="44"/>
      <c r="H269" s="44"/>
      <c r="I269" s="44"/>
      <c r="J269" s="44"/>
      <c r="K269" s="44"/>
      <c r="L269" s="44"/>
    </row>
    <row r="270" spans="4:12" s="43" customFormat="1">
      <c r="D270" s="52"/>
      <c r="G270" s="44"/>
      <c r="H270" s="44"/>
      <c r="I270" s="44"/>
      <c r="J270" s="44"/>
      <c r="K270" s="44"/>
      <c r="L270" s="44"/>
    </row>
    <row r="271" spans="4:12" s="43" customFormat="1">
      <c r="D271" s="52"/>
      <c r="G271" s="44"/>
      <c r="H271" s="44"/>
      <c r="I271" s="44"/>
      <c r="J271" s="44"/>
      <c r="K271" s="44"/>
      <c r="L271" s="44"/>
    </row>
    <row r="272" spans="4:12" s="43" customFormat="1">
      <c r="D272" s="52"/>
      <c r="G272" s="44"/>
      <c r="H272" s="44"/>
      <c r="I272" s="44"/>
      <c r="J272" s="44"/>
      <c r="K272" s="44"/>
      <c r="L272" s="44"/>
    </row>
    <row r="273" spans="4:12" s="43" customFormat="1">
      <c r="D273" s="52"/>
      <c r="G273" s="44"/>
      <c r="H273" s="44"/>
      <c r="I273" s="44"/>
      <c r="J273" s="44"/>
      <c r="K273" s="44"/>
      <c r="L273" s="44"/>
    </row>
    <row r="274" spans="4:12" s="43" customFormat="1">
      <c r="D274" s="52"/>
      <c r="G274" s="44"/>
      <c r="H274" s="44"/>
      <c r="I274" s="44"/>
      <c r="J274" s="44"/>
      <c r="K274" s="44"/>
      <c r="L274" s="44"/>
    </row>
    <row r="275" spans="4:12" s="43" customFormat="1">
      <c r="D275" s="52"/>
      <c r="G275" s="44"/>
      <c r="H275" s="44"/>
      <c r="I275" s="44"/>
      <c r="J275" s="44"/>
      <c r="K275" s="44"/>
      <c r="L275" s="44"/>
    </row>
    <row r="276" spans="4:12" s="43" customFormat="1">
      <c r="D276" s="52"/>
      <c r="G276" s="44"/>
      <c r="H276" s="44"/>
      <c r="I276" s="44"/>
      <c r="J276" s="44"/>
      <c r="K276" s="44"/>
      <c r="L276" s="44"/>
    </row>
    <row r="277" spans="4:12" s="43" customFormat="1">
      <c r="D277" s="52"/>
      <c r="G277" s="44"/>
      <c r="H277" s="44"/>
      <c r="I277" s="44"/>
      <c r="J277" s="44"/>
      <c r="K277" s="44"/>
      <c r="L277" s="44"/>
    </row>
    <row r="278" spans="4:12" s="43" customFormat="1">
      <c r="D278" s="52"/>
      <c r="G278" s="44"/>
      <c r="H278" s="44"/>
      <c r="I278" s="44"/>
      <c r="J278" s="44"/>
      <c r="K278" s="44"/>
      <c r="L278" s="44"/>
    </row>
    <row r="279" spans="4:12" s="43" customFormat="1">
      <c r="D279" s="52"/>
      <c r="G279" s="44"/>
      <c r="H279" s="44"/>
      <c r="I279" s="44"/>
      <c r="J279" s="44"/>
      <c r="K279" s="44"/>
      <c r="L279" s="44"/>
    </row>
    <row r="280" spans="4:12" s="43" customFormat="1">
      <c r="D280" s="52"/>
      <c r="G280" s="44"/>
      <c r="H280" s="44"/>
      <c r="I280" s="44"/>
      <c r="J280" s="44"/>
      <c r="K280" s="44"/>
      <c r="L280" s="44"/>
    </row>
    <row r="281" spans="4:12" s="43" customFormat="1">
      <c r="D281" s="52"/>
      <c r="G281" s="44"/>
      <c r="H281" s="44"/>
      <c r="I281" s="44"/>
      <c r="J281" s="44"/>
      <c r="K281" s="44"/>
      <c r="L281" s="44"/>
    </row>
    <row r="282" spans="4:12" s="43" customFormat="1">
      <c r="D282" s="52"/>
      <c r="G282" s="44"/>
      <c r="H282" s="44"/>
      <c r="I282" s="44"/>
      <c r="J282" s="44"/>
      <c r="K282" s="44"/>
      <c r="L282" s="44"/>
    </row>
    <row r="283" spans="4:12" s="43" customFormat="1">
      <c r="D283" s="52"/>
      <c r="G283" s="44"/>
      <c r="H283" s="44"/>
      <c r="I283" s="44"/>
      <c r="J283" s="44"/>
      <c r="K283" s="44"/>
      <c r="L283" s="44"/>
    </row>
    <row r="284" spans="4:12" s="43" customFormat="1">
      <c r="D284" s="52"/>
      <c r="G284" s="44"/>
      <c r="H284" s="44"/>
      <c r="I284" s="44"/>
      <c r="J284" s="44"/>
      <c r="K284" s="44"/>
      <c r="L284" s="44"/>
    </row>
    <row r="285" spans="4:12" s="43" customFormat="1">
      <c r="D285" s="52"/>
      <c r="G285" s="44"/>
      <c r="H285" s="44"/>
      <c r="I285" s="44"/>
      <c r="J285" s="44"/>
      <c r="K285" s="44"/>
      <c r="L285" s="44"/>
    </row>
    <row r="286" spans="4:12" s="43" customFormat="1">
      <c r="D286" s="52"/>
      <c r="G286" s="44"/>
      <c r="H286" s="44"/>
      <c r="I286" s="44"/>
      <c r="J286" s="44"/>
      <c r="K286" s="44"/>
      <c r="L286" s="44"/>
    </row>
    <row r="287" spans="4:12" s="43" customFormat="1">
      <c r="D287" s="52"/>
      <c r="G287" s="44"/>
      <c r="H287" s="44"/>
      <c r="I287" s="44"/>
      <c r="J287" s="44"/>
      <c r="K287" s="44"/>
      <c r="L287" s="44"/>
    </row>
    <row r="288" spans="4:12" s="43" customFormat="1">
      <c r="D288" s="52"/>
      <c r="G288" s="44"/>
      <c r="H288" s="44"/>
      <c r="I288" s="44"/>
      <c r="J288" s="44"/>
      <c r="K288" s="44"/>
      <c r="L288" s="44"/>
    </row>
    <row r="289" spans="4:12" s="43" customFormat="1">
      <c r="D289" s="52"/>
      <c r="G289" s="44"/>
      <c r="H289" s="44"/>
      <c r="I289" s="44"/>
      <c r="J289" s="44"/>
      <c r="K289" s="44"/>
      <c r="L289" s="44"/>
    </row>
    <row r="290" spans="4:12" s="43" customFormat="1">
      <c r="D290" s="52"/>
      <c r="G290" s="44"/>
      <c r="H290" s="44"/>
      <c r="I290" s="44"/>
      <c r="J290" s="44"/>
      <c r="K290" s="44"/>
      <c r="L290" s="44"/>
    </row>
    <row r="291" spans="4:12" s="43" customFormat="1">
      <c r="D291" s="52"/>
      <c r="G291" s="44"/>
      <c r="H291" s="44"/>
      <c r="I291" s="44"/>
      <c r="J291" s="44"/>
      <c r="K291" s="44"/>
      <c r="L291" s="44"/>
    </row>
    <row r="292" spans="4:12" s="43" customFormat="1">
      <c r="D292" s="52"/>
      <c r="G292" s="44"/>
      <c r="H292" s="44"/>
      <c r="I292" s="44"/>
      <c r="J292" s="44"/>
      <c r="K292" s="44"/>
      <c r="L292" s="44"/>
    </row>
    <row r="293" spans="4:12" s="43" customFormat="1">
      <c r="D293" s="52"/>
      <c r="G293" s="44"/>
      <c r="H293" s="44"/>
      <c r="I293" s="44"/>
      <c r="J293" s="44"/>
      <c r="K293" s="44"/>
      <c r="L293" s="44"/>
    </row>
    <row r="294" spans="4:12" s="43" customFormat="1">
      <c r="D294" s="52"/>
      <c r="G294" s="44"/>
      <c r="H294" s="44"/>
      <c r="I294" s="44"/>
      <c r="J294" s="44"/>
      <c r="K294" s="44"/>
      <c r="L294" s="44"/>
    </row>
    <row r="295" spans="4:12" s="43" customFormat="1">
      <c r="D295" s="52"/>
      <c r="G295" s="44"/>
      <c r="H295" s="44"/>
      <c r="I295" s="44"/>
      <c r="J295" s="44"/>
      <c r="K295" s="44"/>
      <c r="L295" s="44"/>
    </row>
    <row r="296" spans="4:12" s="43" customFormat="1">
      <c r="D296" s="52"/>
      <c r="G296" s="44"/>
      <c r="H296" s="44"/>
      <c r="I296" s="44"/>
      <c r="J296" s="44"/>
      <c r="K296" s="44"/>
      <c r="L296" s="44"/>
    </row>
    <row r="297" spans="4:12" s="43" customFormat="1">
      <c r="D297" s="52"/>
      <c r="G297" s="44"/>
      <c r="H297" s="44"/>
      <c r="I297" s="44"/>
      <c r="J297" s="44"/>
      <c r="K297" s="44"/>
      <c r="L297" s="44"/>
    </row>
    <row r="298" spans="4:12" s="43" customFormat="1">
      <c r="D298" s="52"/>
      <c r="G298" s="44"/>
      <c r="H298" s="44"/>
      <c r="I298" s="44"/>
      <c r="J298" s="44"/>
      <c r="K298" s="44"/>
      <c r="L298" s="44"/>
    </row>
    <row r="299" spans="4:12" s="43" customFormat="1">
      <c r="D299" s="52"/>
      <c r="G299" s="44"/>
      <c r="H299" s="44"/>
      <c r="I299" s="44"/>
      <c r="J299" s="44"/>
      <c r="K299" s="44"/>
      <c r="L299" s="44"/>
    </row>
    <row r="300" spans="4:12" s="43" customFormat="1">
      <c r="D300" s="52"/>
      <c r="G300" s="44"/>
      <c r="H300" s="44"/>
      <c r="I300" s="44"/>
      <c r="J300" s="44"/>
      <c r="K300" s="44"/>
      <c r="L300" s="44"/>
    </row>
    <row r="301" spans="4:12" s="43" customFormat="1">
      <c r="D301" s="52"/>
      <c r="G301" s="44"/>
      <c r="H301" s="44"/>
      <c r="I301" s="44"/>
      <c r="J301" s="44"/>
      <c r="K301" s="44"/>
      <c r="L301" s="44"/>
    </row>
    <row r="302" spans="4:12" s="43" customFormat="1">
      <c r="D302" s="52"/>
      <c r="G302" s="44"/>
      <c r="H302" s="44"/>
      <c r="I302" s="44"/>
      <c r="J302" s="44"/>
      <c r="K302" s="44"/>
      <c r="L302" s="44"/>
    </row>
    <row r="303" spans="4:12" s="43" customFormat="1">
      <c r="D303" s="52"/>
      <c r="G303" s="44"/>
      <c r="H303" s="44"/>
      <c r="I303" s="44"/>
      <c r="J303" s="44"/>
      <c r="K303" s="44"/>
      <c r="L303" s="44"/>
    </row>
    <row r="304" spans="4:12" s="43" customFormat="1">
      <c r="D304" s="52"/>
      <c r="G304" s="44"/>
      <c r="H304" s="44"/>
      <c r="I304" s="44"/>
      <c r="J304" s="44"/>
      <c r="K304" s="44"/>
      <c r="L304" s="44"/>
    </row>
    <row r="305" spans="4:12" s="43" customFormat="1">
      <c r="D305" s="52"/>
      <c r="G305" s="44"/>
      <c r="H305" s="44"/>
      <c r="I305" s="44"/>
      <c r="J305" s="44"/>
      <c r="K305" s="44"/>
      <c r="L305" s="44"/>
    </row>
  </sheetData>
  <mergeCells count="6">
    <mergeCell ref="G62:I62"/>
    <mergeCell ref="M4:O4"/>
    <mergeCell ref="J4:L4"/>
    <mergeCell ref="G4:I4"/>
    <mergeCell ref="J62:L62"/>
    <mergeCell ref="M62:O6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M84"/>
  <sheetViews>
    <sheetView zoomScale="70" zoomScaleNormal="70" workbookViewId="0">
      <selection activeCell="L34" sqref="L34:L35"/>
    </sheetView>
  </sheetViews>
  <sheetFormatPr defaultRowHeight="15"/>
  <cols>
    <col min="1" max="1" width="3.44140625" bestFit="1" customWidth="1"/>
    <col min="2" max="2" width="5" bestFit="1" customWidth="1"/>
    <col min="3" max="3" width="9.21875" customWidth="1"/>
    <col min="4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9" width="8.77734375" hidden="1" customWidth="1"/>
    <col min="10" max="11" width="6.109375" hidden="1" customWidth="1"/>
    <col min="12" max="12" width="8.44140625" bestFit="1" customWidth="1"/>
    <col min="13" max="13" width="8.6640625" customWidth="1"/>
    <col min="14" max="16" width="7" customWidth="1"/>
    <col min="17" max="19" width="5.5546875" customWidth="1"/>
    <col min="20" max="20" width="7.109375" customWidth="1"/>
    <col min="21" max="23" width="7.77734375" style="35" customWidth="1"/>
    <col min="24" max="24" width="8.44140625" customWidth="1"/>
    <col min="25" max="25" width="5.109375" hidden="1" customWidth="1"/>
    <col min="26" max="26" width="10" customWidth="1"/>
    <col min="27" max="41" width="8.88671875" customWidth="1"/>
  </cols>
  <sheetData>
    <row r="1" spans="1:48">
      <c r="L1" s="22"/>
      <c r="M1" s="18"/>
      <c r="N1" s="27">
        <f>N4/SUM($N$4:$T$4)</f>
        <v>0.20080606922712185</v>
      </c>
      <c r="O1" s="27">
        <f t="shared" ref="O1:T1" si="0">O4/SUM($N$4:$T$4)</f>
        <v>0.28425794215267902</v>
      </c>
      <c r="P1" s="27">
        <f t="shared" si="0"/>
        <v>0.24270981507823614</v>
      </c>
      <c r="Q1" s="27">
        <f t="shared" si="0"/>
        <v>6.1996206733048835E-2</v>
      </c>
      <c r="R1" s="27">
        <f t="shared" si="0"/>
        <v>1.5232337600758653E-2</v>
      </c>
      <c r="S1" s="27">
        <f t="shared" si="0"/>
        <v>1.5647226173541962E-2</v>
      </c>
      <c r="T1" s="27">
        <f t="shared" si="0"/>
        <v>0.17935040303461355</v>
      </c>
      <c r="U1" s="35">
        <v>1</v>
      </c>
    </row>
    <row r="2" spans="1:48" ht="15.75">
      <c r="C2" s="47" t="s">
        <v>28</v>
      </c>
      <c r="D2" s="47"/>
      <c r="F2" s="47" t="s">
        <v>23</v>
      </c>
      <c r="G2" s="47"/>
      <c r="H2" s="47"/>
      <c r="I2" s="47"/>
      <c r="J2" s="29"/>
      <c r="K2" s="29"/>
      <c r="L2" s="22"/>
      <c r="N2" s="47"/>
      <c r="O2" s="47"/>
      <c r="P2" s="47"/>
      <c r="Q2" s="47"/>
      <c r="R2" s="47"/>
      <c r="S2" s="47"/>
      <c r="T2" s="47"/>
      <c r="U2" s="51" t="s">
        <v>19</v>
      </c>
      <c r="V2" s="51"/>
      <c r="W2" s="51"/>
    </row>
    <row r="3" spans="1:48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J3" s="1" t="s">
        <v>14</v>
      </c>
      <c r="L3" s="1" t="s">
        <v>2</v>
      </c>
      <c r="M3" s="1" t="s">
        <v>3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36" t="s">
        <v>20</v>
      </c>
      <c r="V3" s="36" t="s">
        <v>21</v>
      </c>
      <c r="W3" s="36" t="s">
        <v>22</v>
      </c>
      <c r="X3" s="1" t="s">
        <v>46</v>
      </c>
      <c r="AP3" s="1" t="s">
        <v>61</v>
      </c>
    </row>
    <row r="4" spans="1:48" s="1" customFormat="1" ht="15.75">
      <c r="K4" s="1" t="s">
        <v>64</v>
      </c>
      <c r="L4" s="1">
        <v>5082</v>
      </c>
      <c r="M4" s="1">
        <v>16515</v>
      </c>
      <c r="N4" s="1">
        <v>6776</v>
      </c>
      <c r="O4" s="1">
        <v>9592</v>
      </c>
      <c r="P4" s="1">
        <v>8190</v>
      </c>
      <c r="Q4" s="1">
        <v>2092</v>
      </c>
      <c r="R4" s="1">
        <v>514</v>
      </c>
      <c r="S4" s="1">
        <v>528</v>
      </c>
      <c r="T4" s="1">
        <v>6052</v>
      </c>
      <c r="U4" s="36"/>
      <c r="V4" s="36"/>
      <c r="W4" s="36"/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62</v>
      </c>
      <c r="AL4" s="1" t="s">
        <v>63</v>
      </c>
      <c r="AM4" s="1" t="s">
        <v>66</v>
      </c>
      <c r="AN4" s="1" t="s">
        <v>67</v>
      </c>
      <c r="AP4" s="1" t="s">
        <v>17</v>
      </c>
      <c r="AQ4" s="1" t="s">
        <v>15</v>
      </c>
      <c r="AR4" s="1" t="s">
        <v>16</v>
      </c>
      <c r="AS4" s="1" t="s">
        <v>12</v>
      </c>
      <c r="AT4" s="1" t="s">
        <v>13</v>
      </c>
      <c r="AU4" s="1" t="s">
        <v>18</v>
      </c>
      <c r="AV4" s="1" t="s">
        <v>14</v>
      </c>
    </row>
    <row r="5" spans="1:48" ht="15.75">
      <c r="A5" s="5">
        <v>1</v>
      </c>
      <c r="B5" s="9">
        <v>2020</v>
      </c>
      <c r="C5" s="9" t="s">
        <v>4</v>
      </c>
      <c r="D5" s="9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9" t="s">
        <v>45</v>
      </c>
      <c r="J5" s="9">
        <v>500</v>
      </c>
      <c r="K5" s="9">
        <v>0.8</v>
      </c>
      <c r="L5" s="21">
        <f>'[54]Arc Results'!$I$10960+'[54]Arc Results'!$I$10971+'[54]Arc Results'!$I$10982+'[54]Arc Results'!$I$10993+'[54]Arc Results'!$I$11004+'[54]Arc Results'!$I$11015+'[54]Arc Results'!$I$11026+'[54]Arc Results'!$I$11037+'[54]Arc Results'!$I$11048+'[54]Arc Results'!$I$11059+'[54]Arc Results'!$I$11070+'[54]Arc Results'!$I$11081+'[54]Arc Results'!$I$11092+'[54]Arc Results'!$I$11103+'[54]Arc Results'!$I$11114+'[54]Arc Results'!$I$11125+'[54]Arc Results'!$I$11136+'[54]Arc Results'!$I$11147+'[54]Arc Results'!$I$11158+'[54]Arc Results'!$I$11169+'[54]Arc Results'!$I$11180+'[54]Arc Results'!$I$11191+'[54]Arc Results'!$I$11202+'[54]Arc Results'!$I$11213+'[54]Arc Results'!$I$11224+'[54]Arc Results'!$I$11235+'[54]Arc Results'!$I$11246+'[54]Arc Results'!$I$11257+'[54]Arc Results'!$I$11268</f>
        <v>3971.52775080129</v>
      </c>
      <c r="M5" s="21">
        <f>'[54]Arc Results'!$I$257</f>
        <v>6165.6637714285698</v>
      </c>
      <c r="N5" s="21">
        <f t="shared" ref="N5:N30" si="1">SUM(AG5:AH5)</f>
        <v>5703.5762548262555</v>
      </c>
      <c r="O5" s="21">
        <f t="shared" ref="O5:O30" si="2">SUM(AI5:AJ5)</f>
        <v>9908.2432432432433</v>
      </c>
      <c r="P5" s="22">
        <f t="shared" ref="P5:P30" si="3">SUM(AM5:AN5)</f>
        <v>7286.3966080118435</v>
      </c>
      <c r="Q5" s="22">
        <f t="shared" ref="Q5:Q30" si="4">SUM(AC5:AD5)</f>
        <v>2247.864864864865</v>
      </c>
      <c r="R5" s="22">
        <f t="shared" ref="R5:R30" si="5">SUM(AE5:AF5)</f>
        <v>546.26833976833973</v>
      </c>
      <c r="S5" s="22">
        <f t="shared" ref="S5:S30" si="6">SUM(AA5:AB5)</f>
        <v>518.18918918918916</v>
      </c>
      <c r="T5" s="22">
        <f t="shared" ref="T5:T30" si="7">SUM(AK5:AL5)</f>
        <v>6130</v>
      </c>
      <c r="U5" s="37" t="str">
        <f>[54]Log!$K$2</f>
        <v>328.278.403,45</v>
      </c>
      <c r="V5" s="37" t="str">
        <f>[54]Log!$J$2</f>
        <v>47.021.289,99</v>
      </c>
      <c r="W5" s="37" t="str">
        <f>[54]Log!$N$2</f>
        <v>71.928.700,54</v>
      </c>
      <c r="X5" s="23">
        <f t="shared" ref="X5:X30" si="8">SUM(U5:W5)</f>
        <v>0</v>
      </c>
      <c r="Y5" s="22"/>
      <c r="Z5" s="24">
        <f t="shared" ref="Z5:Z30" si="9">M5+N5+O5+P5+Q5+R5+S5+T5</f>
        <v>38506.202271332309</v>
      </c>
      <c r="AA5" s="22">
        <f>'[54]Arc Results'!$I$15</f>
        <v>254.18918918918914</v>
      </c>
      <c r="AB5" s="22">
        <f>'[54]Arc Results'!$I$26</f>
        <v>264</v>
      </c>
      <c r="AC5" s="22">
        <f>'[54]Arc Results'!$I$48</f>
        <v>1003.2277992277992</v>
      </c>
      <c r="AD5" s="22">
        <f>'[54]Arc Results'!$I$59</f>
        <v>1244.6370656370657</v>
      </c>
      <c r="AE5" s="22">
        <f>'[54]Arc Results'!$I$114</f>
        <v>257.18339768339769</v>
      </c>
      <c r="AF5" s="22">
        <f>'[54]Arc Results'!$I$125</f>
        <v>289.0849420849421</v>
      </c>
      <c r="AG5" s="22">
        <f>'[54]Arc Results'!$I$147</f>
        <v>2832.0125482625485</v>
      </c>
      <c r="AH5" s="22">
        <f>'[54]Arc Results'!$I$158</f>
        <v>2871.5637065637065</v>
      </c>
      <c r="AI5" s="22">
        <f>'[54]Arc Results'!$I$213</f>
        <v>4777.4324324324325</v>
      </c>
      <c r="AJ5" s="22">
        <f>'[54]Arc Results'!$I$224</f>
        <v>5130.8108108108108</v>
      </c>
      <c r="AK5" s="22">
        <f>'[54]Arc Results'!$I$180</f>
        <v>3063</v>
      </c>
      <c r="AL5" s="22">
        <f>'[54]Arc Results'!$I$191</f>
        <v>3067</v>
      </c>
      <c r="AM5" s="22">
        <f>'[54]Arc Results'!$I$81</f>
        <v>3643.1983040059217</v>
      </c>
      <c r="AN5" s="22">
        <f>'[54]Arc Results'!$I$81</f>
        <v>3643.1983040059217</v>
      </c>
      <c r="AP5" s="9">
        <f t="shared" ref="AP5:AP56" si="10">2*AB5/SUM(AA5:AB5)</f>
        <v>1.0189328743545611</v>
      </c>
      <c r="AQ5" s="9">
        <f t="shared" ref="AQ5:AQ56" si="11">2*AD5/SUM(AC5:AD5)</f>
        <v>1.1073949195890738</v>
      </c>
      <c r="AR5" s="9">
        <f t="shared" ref="AR5:AR56" si="12">2*AF5/SUM(AE5:AF5)</f>
        <v>1.0583990359299849</v>
      </c>
      <c r="AS5" s="9">
        <f t="shared" ref="AS5:AS56" si="13">2*AH5/SUM(AG5:AH5)</f>
        <v>1.0069344489376626</v>
      </c>
      <c r="AT5" s="9">
        <f t="shared" ref="AT5:AT56" si="14">2*AJ5/SUM(AI5:AJ5)</f>
        <v>1.0356650891286261</v>
      </c>
      <c r="AU5" s="9">
        <f t="shared" ref="AU5:AU56" si="15">2*AL5/SUM(AK5:AL5)</f>
        <v>1.000652528548124</v>
      </c>
      <c r="AV5" s="9">
        <f t="shared" ref="AV5:AV56" si="16">2*AN5/SUM(AM5:AN5)</f>
        <v>1</v>
      </c>
    </row>
    <row r="6" spans="1:48" ht="15.75">
      <c r="A6">
        <f>A5+1</f>
        <v>2</v>
      </c>
      <c r="B6" s="9">
        <v>2020</v>
      </c>
      <c r="C6" s="9" t="s">
        <v>4</v>
      </c>
      <c r="D6" s="9" t="s">
        <v>5</v>
      </c>
      <c r="E6" s="7" t="s">
        <v>6</v>
      </c>
      <c r="F6" s="7" t="s">
        <v>76</v>
      </c>
      <c r="G6" s="7" t="s">
        <v>8</v>
      </c>
      <c r="H6" s="7" t="s">
        <v>9</v>
      </c>
      <c r="I6" s="9" t="s">
        <v>45</v>
      </c>
      <c r="J6" s="9">
        <v>500</v>
      </c>
      <c r="K6" s="9">
        <v>0.8</v>
      </c>
      <c r="L6" s="28">
        <f>'[55]Arc Results'!$I$10960+'[55]Arc Results'!$I$10971+'[55]Arc Results'!$I$10982+'[55]Arc Results'!$I$10993+'[55]Arc Results'!$I$11004+'[55]Arc Results'!$I$11015+'[55]Arc Results'!$I$11026+'[55]Arc Results'!$I$11037+'[55]Arc Results'!$I$11048+'[55]Arc Results'!$I$11059+'[55]Arc Results'!$I$11070+'[55]Arc Results'!$I$11081+'[55]Arc Results'!$I$11092+'[55]Arc Results'!$I$11103+'[55]Arc Results'!$I$11114+'[55]Arc Results'!$I$11125+'[55]Arc Results'!$I$11136+'[55]Arc Results'!$I$11147+'[55]Arc Results'!$I$11158+'[55]Arc Results'!$I$11169+'[55]Arc Results'!$I$11180+'[55]Arc Results'!$I$11191+'[55]Arc Results'!$I$11202+'[55]Arc Results'!$I$11213+'[55]Arc Results'!$I$11224+'[55]Arc Results'!$I$11235+'[55]Arc Results'!$I$11246+'[55]Arc Results'!$I$11257+'[55]Arc Results'!$I$11268</f>
        <v>3865.4597006082372</v>
      </c>
      <c r="M6" s="28">
        <f>'[55]Arc Results'!$I$257</f>
        <v>6165.663771428568</v>
      </c>
      <c r="N6" s="28">
        <f t="shared" si="1"/>
        <v>6124.0000000000018</v>
      </c>
      <c r="O6" s="28">
        <f t="shared" si="2"/>
        <v>9804.7591148167303</v>
      </c>
      <c r="P6" s="28">
        <f t="shared" si="3"/>
        <v>7243.516409266409</v>
      </c>
      <c r="Q6" s="28">
        <f t="shared" si="4"/>
        <v>2127.1602316602316</v>
      </c>
      <c r="R6" s="28">
        <f t="shared" si="5"/>
        <v>539.88803088803093</v>
      </c>
      <c r="S6" s="28">
        <f t="shared" si="6"/>
        <v>495.08108108108104</v>
      </c>
      <c r="T6" s="28">
        <f t="shared" si="7"/>
        <v>6130</v>
      </c>
      <c r="U6" s="38" t="str">
        <f>[55]Log!$K$2</f>
        <v>314.043.115,53</v>
      </c>
      <c r="V6" s="38" t="str">
        <f>[55]Log!$J$2</f>
        <v>47.021.289,99</v>
      </c>
      <c r="W6" s="38" t="str">
        <f>[55]Log!$N$2</f>
        <v>71.928.700,54</v>
      </c>
      <c r="X6" s="32">
        <f t="shared" si="8"/>
        <v>0</v>
      </c>
      <c r="Y6" s="28"/>
      <c r="Z6" s="33">
        <f t="shared" si="9"/>
        <v>38630.068639141056</v>
      </c>
      <c r="AA6" s="28">
        <f>'[55]Arc Results'!$I$15</f>
        <v>231.08108108108104</v>
      </c>
      <c r="AB6" s="28">
        <f>'[55]Arc Results'!$I$26</f>
        <v>264</v>
      </c>
      <c r="AC6" s="28">
        <f>'[55]Arc Results'!$I$48</f>
        <v>942.87548262548262</v>
      </c>
      <c r="AD6" s="28">
        <f>'[55]Arc Results'!$I$59</f>
        <v>1184.284749034749</v>
      </c>
      <c r="AE6" s="28">
        <f>'[55]Arc Results'!$I$114</f>
        <v>257.18339768339769</v>
      </c>
      <c r="AF6" s="28">
        <f>'[55]Arc Results'!$I$125</f>
        <v>282.70463320463318</v>
      </c>
      <c r="AG6" s="28">
        <f>'[55]Arc Results'!$I$147</f>
        <v>2863.6534749034749</v>
      </c>
      <c r="AH6" s="28">
        <f>'[55]Arc Results'!$I$158</f>
        <v>3260.3465250965269</v>
      </c>
      <c r="AI6" s="28">
        <f>'[55]Arc Results'!$I$213</f>
        <v>4744.6239796815944</v>
      </c>
      <c r="AJ6" s="28">
        <f>'[55]Arc Results'!$I$224</f>
        <v>5060.135135135135</v>
      </c>
      <c r="AK6" s="28">
        <f>'[55]Arc Results'!$I$180</f>
        <v>3063</v>
      </c>
      <c r="AL6" s="28">
        <f>'[55]Arc Results'!$I$191</f>
        <v>3067</v>
      </c>
      <c r="AM6" s="28">
        <f>'[55]Arc Results'!$I$81</f>
        <v>3621.7582046332045</v>
      </c>
      <c r="AN6" s="28">
        <f>'[55]Arc Results'!$I$81</f>
        <v>3621.7582046332045</v>
      </c>
      <c r="AP6" s="9">
        <f t="shared" si="10"/>
        <v>1.0664919751064528</v>
      </c>
      <c r="AQ6" s="9">
        <f t="shared" si="11"/>
        <v>1.1134889900705074</v>
      </c>
      <c r="AR6" s="9">
        <f t="shared" si="12"/>
        <v>1.047271348985561</v>
      </c>
      <c r="AS6" s="9">
        <f t="shared" si="13"/>
        <v>1.0647767880785519</v>
      </c>
      <c r="AT6" s="9">
        <f t="shared" si="14"/>
        <v>1.0321793887803674</v>
      </c>
      <c r="AU6" s="9">
        <f t="shared" si="15"/>
        <v>1.000652528548124</v>
      </c>
      <c r="AV6" s="9">
        <f t="shared" si="16"/>
        <v>1</v>
      </c>
    </row>
    <row r="7" spans="1:48" ht="15.75">
      <c r="A7">
        <f t="shared" ref="A7:A56" si="17">A6+1</f>
        <v>3</v>
      </c>
      <c r="B7" s="9">
        <v>2020</v>
      </c>
      <c r="C7" s="9" t="s">
        <v>4</v>
      </c>
      <c r="D7" s="9" t="s">
        <v>5</v>
      </c>
      <c r="E7" s="7" t="s">
        <v>6</v>
      </c>
      <c r="F7" s="7" t="s">
        <v>77</v>
      </c>
      <c r="G7" s="7" t="s">
        <v>8</v>
      </c>
      <c r="H7" s="7" t="s">
        <v>9</v>
      </c>
      <c r="I7" s="9" t="s">
        <v>45</v>
      </c>
      <c r="J7" s="9">
        <v>500</v>
      </c>
      <c r="K7" s="9">
        <v>0.8</v>
      </c>
      <c r="L7" s="28">
        <f>'[56]Arc Results'!$I$10960+'[56]Arc Results'!$I$10971+'[56]Arc Results'!$I$10982+'[56]Arc Results'!$I$10993+'[56]Arc Results'!$I$11004+'[56]Arc Results'!$I$11015+'[56]Arc Results'!$I$11026+'[56]Arc Results'!$I$11037+'[56]Arc Results'!$I$11048+'[56]Arc Results'!$I$11059+'[56]Arc Results'!$I$11070+'[56]Arc Results'!$I$11081+'[56]Arc Results'!$I$11092+'[56]Arc Results'!$I$11103+'[56]Arc Results'!$I$11114+'[56]Arc Results'!$I$11125+'[56]Arc Results'!$I$11136+'[56]Arc Results'!$I$11147+'[56]Arc Results'!$I$11158+'[56]Arc Results'!$I$11169+'[56]Arc Results'!$I$11180+'[56]Arc Results'!$I$11191+'[56]Arc Results'!$I$11202+'[56]Arc Results'!$I$11213+'[56]Arc Results'!$I$11224+'[56]Arc Results'!$I$11235+'[56]Arc Results'!$I$11246+'[56]Arc Results'!$I$11257+'[56]Arc Results'!$I$11268</f>
        <v>3499.4436050965319</v>
      </c>
      <c r="M7" s="28">
        <f>'[56]Arc Results'!$I$257</f>
        <v>6165.6637714286026</v>
      </c>
      <c r="N7" s="28">
        <f t="shared" si="1"/>
        <v>5648.2046332046339</v>
      </c>
      <c r="O7" s="28">
        <f t="shared" si="2"/>
        <v>11504.000000000004</v>
      </c>
      <c r="P7" s="28">
        <f t="shared" si="3"/>
        <v>6371.6776061776063</v>
      </c>
      <c r="Q7" s="28">
        <f t="shared" si="4"/>
        <v>1788.3885328185329</v>
      </c>
      <c r="R7" s="28">
        <f t="shared" si="5"/>
        <v>501.6061776061776</v>
      </c>
      <c r="S7" s="28">
        <f t="shared" si="6"/>
        <v>448.86486486486484</v>
      </c>
      <c r="T7" s="28">
        <f t="shared" si="7"/>
        <v>6130</v>
      </c>
      <c r="U7" s="38" t="str">
        <f>[56]Log!$K$2</f>
        <v>301.673.061,38</v>
      </c>
      <c r="V7" s="38" t="str">
        <f>[56]Log!$J$2</f>
        <v>47.021.289,99</v>
      </c>
      <c r="W7" s="38" t="str">
        <f>[56]Log!$N$2</f>
        <v>71.928.700,54</v>
      </c>
      <c r="X7" s="32">
        <f t="shared" si="8"/>
        <v>0</v>
      </c>
      <c r="Y7" s="28"/>
      <c r="Z7" s="33">
        <f t="shared" si="9"/>
        <v>38558.405586100416</v>
      </c>
      <c r="AA7" s="28">
        <f>'[56]Arc Results'!$I$15</f>
        <v>184.86486486486484</v>
      </c>
      <c r="AB7" s="28">
        <f>'[56]Arc Results'!$I$26</f>
        <v>264</v>
      </c>
      <c r="AC7" s="28">
        <f>'[56]Arc Results'!$I$48</f>
        <v>761.81853281853284</v>
      </c>
      <c r="AD7" s="28">
        <f>'[56]Arc Results'!$I$59</f>
        <v>1026.5700000000002</v>
      </c>
      <c r="AE7" s="28">
        <f>'[56]Arc Results'!$I$114</f>
        <v>238.04247104247105</v>
      </c>
      <c r="AF7" s="28">
        <f>'[56]Arc Results'!$I$125</f>
        <v>263.56370656370655</v>
      </c>
      <c r="AG7" s="28">
        <f>'[56]Arc Results'!$I$147</f>
        <v>2808.2818532818533</v>
      </c>
      <c r="AH7" s="28">
        <f>'[56]Arc Results'!$I$158</f>
        <v>2839.9227799227801</v>
      </c>
      <c r="AI7" s="28">
        <f>'[56]Arc Results'!$I$213</f>
        <v>5176.8000000000029</v>
      </c>
      <c r="AJ7" s="28">
        <f>'[56]Arc Results'!$I$224</f>
        <v>6327.2000000000007</v>
      </c>
      <c r="AK7" s="28">
        <f>'[56]Arc Results'!$I$180</f>
        <v>3063</v>
      </c>
      <c r="AL7" s="28">
        <f>'[56]Arc Results'!$I$191</f>
        <v>3067</v>
      </c>
      <c r="AM7" s="28">
        <f>'[56]Arc Results'!$I$81</f>
        <v>3185.8388030888032</v>
      </c>
      <c r="AN7" s="28">
        <f>'[56]Arc Results'!$I$81</f>
        <v>3185.8388030888032</v>
      </c>
      <c r="AP7" s="9">
        <f t="shared" si="10"/>
        <v>1.1763005780346822</v>
      </c>
      <c r="AQ7" s="9">
        <f t="shared" si="11"/>
        <v>1.1480391214342078</v>
      </c>
      <c r="AR7" s="9">
        <f t="shared" si="12"/>
        <v>1.0508790295267711</v>
      </c>
      <c r="AS7" s="9">
        <f t="shared" si="13"/>
        <v>1.0056019441036035</v>
      </c>
      <c r="AT7" s="9">
        <f t="shared" si="14"/>
        <v>1.0999999999999999</v>
      </c>
      <c r="AU7" s="9">
        <f t="shared" si="15"/>
        <v>1.000652528548124</v>
      </c>
      <c r="AV7" s="9">
        <f t="shared" si="16"/>
        <v>1</v>
      </c>
    </row>
    <row r="8" spans="1:48" ht="15.75">
      <c r="A8">
        <f t="shared" si="17"/>
        <v>4</v>
      </c>
      <c r="B8" s="9">
        <v>2020</v>
      </c>
      <c r="C8" s="9" t="s">
        <v>4</v>
      </c>
      <c r="D8" s="9" t="s">
        <v>5</v>
      </c>
      <c r="E8" s="7" t="s">
        <v>6</v>
      </c>
      <c r="F8" s="7" t="s">
        <v>78</v>
      </c>
      <c r="G8" s="7" t="s">
        <v>8</v>
      </c>
      <c r="H8" s="7" t="s">
        <v>9</v>
      </c>
      <c r="I8" s="9" t="s">
        <v>45</v>
      </c>
      <c r="J8" s="9">
        <v>500</v>
      </c>
      <c r="K8" s="9">
        <v>0.8</v>
      </c>
      <c r="L8" s="28">
        <f>'[57]Arc Results'!$I$10960+'[57]Arc Results'!$I$10971+'[57]Arc Results'!$I$10982+'[57]Arc Results'!$I$10993+'[57]Arc Results'!$I$11004+'[57]Arc Results'!$I$11015+'[57]Arc Results'!$I$11026+'[57]Arc Results'!$I$11037+'[57]Arc Results'!$I$11048+'[57]Arc Results'!$I$11059+'[57]Arc Results'!$I$11070+'[57]Arc Results'!$I$11081+'[57]Arc Results'!$I$11092+'[57]Arc Results'!$I$11103+'[57]Arc Results'!$I$11114+'[57]Arc Results'!$I$11125+'[57]Arc Results'!$I$11136+'[57]Arc Results'!$I$11147+'[57]Arc Results'!$I$11158+'[57]Arc Results'!$I$11169+'[57]Arc Results'!$I$11180+'[57]Arc Results'!$I$11191+'[57]Arc Results'!$I$11202+'[57]Arc Results'!$I$11213+'[57]Arc Results'!$I$11224+'[57]Arc Results'!$I$11235+'[57]Arc Results'!$I$11246+'[57]Arc Results'!$I$11257+'[57]Arc Results'!$I$11268</f>
        <v>3736.1503618533065</v>
      </c>
      <c r="M8" s="28">
        <f>'[57]Arc Results'!$I$257</f>
        <v>6165.6637714285716</v>
      </c>
      <c r="N8" s="28">
        <f t="shared" si="1"/>
        <v>5553.2818532818528</v>
      </c>
      <c r="O8" s="28">
        <f t="shared" si="2"/>
        <v>8602.8456630792571</v>
      </c>
      <c r="P8" s="28">
        <f t="shared" si="3"/>
        <v>10089.000000000047</v>
      </c>
      <c r="Q8" s="28">
        <f t="shared" si="4"/>
        <v>1040.8185328185327</v>
      </c>
      <c r="R8" s="28">
        <f t="shared" si="5"/>
        <v>425.04247104247099</v>
      </c>
      <c r="S8" s="28">
        <f t="shared" si="6"/>
        <v>204.61621621621617</v>
      </c>
      <c r="T8" s="28">
        <f t="shared" si="7"/>
        <v>6130</v>
      </c>
      <c r="U8" s="38" t="str">
        <f>[57]Log!$K$2</f>
        <v>304.227.476,63</v>
      </c>
      <c r="V8" s="38" t="str">
        <f>[57]Log!$J$2</f>
        <v>47.021.289,99</v>
      </c>
      <c r="W8" s="38" t="str">
        <f>[57]Log!$N$2</f>
        <v>71.928.700,54</v>
      </c>
      <c r="X8" s="32">
        <f t="shared" si="8"/>
        <v>0</v>
      </c>
      <c r="Y8" s="28"/>
      <c r="Z8" s="33">
        <f t="shared" si="9"/>
        <v>38211.268507866946</v>
      </c>
      <c r="AA8" s="28">
        <f>'[57]Arc Results'!$I$15</f>
        <v>46.21621621621621</v>
      </c>
      <c r="AB8" s="28">
        <f>'[57]Arc Results'!$I$26</f>
        <v>158.39999999999998</v>
      </c>
      <c r="AC8" s="28">
        <f>'[57]Arc Results'!$I$48</f>
        <v>399.70463320463318</v>
      </c>
      <c r="AD8" s="28">
        <f>'[57]Arc Results'!$I$59</f>
        <v>641.11389961389966</v>
      </c>
      <c r="AE8" s="28">
        <f>'[57]Arc Results'!$I$114</f>
        <v>199.76061776061775</v>
      </c>
      <c r="AF8" s="28">
        <f>'[57]Arc Results'!$I$125</f>
        <v>225.28185328185327</v>
      </c>
      <c r="AG8" s="28">
        <f>'[57]Arc Results'!$I$147</f>
        <v>2760.8204633204632</v>
      </c>
      <c r="AH8" s="28">
        <f>'[57]Arc Results'!$I$158</f>
        <v>2792.4613899613901</v>
      </c>
      <c r="AI8" s="28">
        <f>'[57]Arc Results'!$I$213</f>
        <v>4141.3513513513517</v>
      </c>
      <c r="AJ8" s="28">
        <f>'[57]Arc Results'!$I$224</f>
        <v>4461.4943117279054</v>
      </c>
      <c r="AK8" s="28">
        <f>'[57]Arc Results'!$I$180</f>
        <v>3063</v>
      </c>
      <c r="AL8" s="28">
        <f>'[57]Arc Results'!$I$191</f>
        <v>3067</v>
      </c>
      <c r="AM8" s="28">
        <f>'[57]Arc Results'!$I$81</f>
        <v>5044.5000000000236</v>
      </c>
      <c r="AN8" s="28">
        <f>'[57]Arc Results'!$I$81</f>
        <v>5044.5000000000236</v>
      </c>
      <c r="AP8" s="9">
        <f t="shared" si="10"/>
        <v>1.548264384213029</v>
      </c>
      <c r="AQ8" s="9">
        <f t="shared" si="11"/>
        <v>1.2319417446915855</v>
      </c>
      <c r="AR8" s="9">
        <f t="shared" si="12"/>
        <v>1.0600439656268736</v>
      </c>
      <c r="AS8" s="9">
        <f t="shared" si="13"/>
        <v>1.0056976986720436</v>
      </c>
      <c r="AT8" s="9">
        <f t="shared" si="14"/>
        <v>1.0372136119738271</v>
      </c>
      <c r="AU8" s="9">
        <f t="shared" si="15"/>
        <v>1.000652528548124</v>
      </c>
      <c r="AV8" s="9">
        <f t="shared" si="16"/>
        <v>1</v>
      </c>
    </row>
    <row r="9" spans="1:48" ht="15.75">
      <c r="A9">
        <f t="shared" si="17"/>
        <v>5</v>
      </c>
      <c r="B9" s="9">
        <v>2020</v>
      </c>
      <c r="C9" s="9" t="s">
        <v>4</v>
      </c>
      <c r="D9" s="9" t="s">
        <v>5</v>
      </c>
      <c r="E9" s="7" t="s">
        <v>6</v>
      </c>
      <c r="F9" s="7" t="s">
        <v>79</v>
      </c>
      <c r="G9" s="7" t="s">
        <v>8</v>
      </c>
      <c r="H9" s="7" t="s">
        <v>9</v>
      </c>
      <c r="I9" s="9" t="s">
        <v>45</v>
      </c>
      <c r="J9" s="9">
        <v>500</v>
      </c>
      <c r="K9" s="9">
        <v>0.8</v>
      </c>
      <c r="L9" s="28">
        <f>'[58]Arc Results'!$I$10960+'[58]Arc Results'!$I$10971+'[58]Arc Results'!$I$10982+'[58]Arc Results'!$I$10993+'[58]Arc Results'!$I$11004+'[58]Arc Results'!$I$11015+'[58]Arc Results'!$I$11026+'[58]Arc Results'!$I$11037+'[58]Arc Results'!$I$11048+'[58]Arc Results'!$I$11059+'[58]Arc Results'!$I$11070+'[58]Arc Results'!$I$11081+'[58]Arc Results'!$I$11092+'[58]Arc Results'!$I$11103+'[58]Arc Results'!$I$11114+'[58]Arc Results'!$I$11125+'[58]Arc Results'!$I$11136+'[58]Arc Results'!$I$11147+'[58]Arc Results'!$I$11158+'[58]Arc Results'!$I$11169+'[58]Arc Results'!$I$11180+'[58]Arc Results'!$I$11191+'[58]Arc Results'!$I$11202+'[58]Arc Results'!$I$11213+'[58]Arc Results'!$I$11224+'[58]Arc Results'!$I$11235+'[58]Arc Results'!$I$11246+'[58]Arc Results'!$I$11257+'[58]Arc Results'!$I$11268</f>
        <v>3971.5277508012905</v>
      </c>
      <c r="M9" s="28">
        <f>'[58]Arc Results'!$I$257</f>
        <v>6165.6637714285789</v>
      </c>
      <c r="N9" s="28">
        <f t="shared" si="1"/>
        <v>5703.5762548262555</v>
      </c>
      <c r="O9" s="28">
        <f t="shared" si="2"/>
        <v>9908.2432432432433</v>
      </c>
      <c r="P9" s="28">
        <f t="shared" si="3"/>
        <v>7254.0143686296033</v>
      </c>
      <c r="Q9" s="28">
        <f t="shared" si="4"/>
        <v>2247.864864864865</v>
      </c>
      <c r="R9" s="28">
        <f t="shared" si="5"/>
        <v>552.64864864864865</v>
      </c>
      <c r="S9" s="28">
        <f t="shared" si="6"/>
        <v>528</v>
      </c>
      <c r="T9" s="28">
        <f t="shared" si="7"/>
        <v>6130</v>
      </c>
      <c r="U9" s="38" t="str">
        <f>[58]Log!$K$2</f>
        <v>326.971.960,66</v>
      </c>
      <c r="V9" s="38" t="str">
        <f>[58]Log!$J$2</f>
        <v>47.021.289,99</v>
      </c>
      <c r="W9" s="38" t="str">
        <f>[58]Log!$N$2</f>
        <v>71.928.700,54</v>
      </c>
      <c r="X9" s="32">
        <f t="shared" si="8"/>
        <v>0</v>
      </c>
      <c r="Y9" s="28"/>
      <c r="Z9" s="33">
        <f t="shared" si="9"/>
        <v>38490.0111516412</v>
      </c>
      <c r="AA9" s="28">
        <f>'[58]Arc Results'!$I$15</f>
        <v>264</v>
      </c>
      <c r="AB9" s="28">
        <f>'[58]Arc Results'!$I$26</f>
        <v>264</v>
      </c>
      <c r="AC9" s="28">
        <f>'[58]Arc Results'!$I$48</f>
        <v>1003.2277992277992</v>
      </c>
      <c r="AD9" s="28">
        <f>'[58]Arc Results'!$I$59</f>
        <v>1244.6370656370657</v>
      </c>
      <c r="AE9" s="28">
        <f>'[58]Arc Results'!$I$114</f>
        <v>263.56370656370655</v>
      </c>
      <c r="AF9" s="28">
        <f>'[58]Arc Results'!$I$125</f>
        <v>289.0849420849421</v>
      </c>
      <c r="AG9" s="28">
        <f>'[58]Arc Results'!$I$147</f>
        <v>2832.0125482625485</v>
      </c>
      <c r="AH9" s="28">
        <f>'[58]Arc Results'!$I$158</f>
        <v>2871.5637065637065</v>
      </c>
      <c r="AI9" s="28">
        <f>'[58]Arc Results'!$I$213</f>
        <v>4777.4324324324325</v>
      </c>
      <c r="AJ9" s="28">
        <f>'[58]Arc Results'!$I$224</f>
        <v>5130.8108108108108</v>
      </c>
      <c r="AK9" s="28">
        <f>'[58]Arc Results'!$I$180</f>
        <v>3063</v>
      </c>
      <c r="AL9" s="28">
        <f>'[58]Arc Results'!$I$191</f>
        <v>3067</v>
      </c>
      <c r="AM9" s="28">
        <f>'[58]Arc Results'!$I$81</f>
        <v>3627.0071843148016</v>
      </c>
      <c r="AN9" s="28">
        <f>'[58]Arc Results'!$I$81</f>
        <v>3627.0071843148016</v>
      </c>
      <c r="AP9" s="9">
        <f t="shared" si="10"/>
        <v>1</v>
      </c>
      <c r="AQ9" s="9">
        <f t="shared" si="11"/>
        <v>1.1073949195890738</v>
      </c>
      <c r="AR9" s="9">
        <f t="shared" si="12"/>
        <v>1.0461798569192935</v>
      </c>
      <c r="AS9" s="9">
        <f t="shared" si="13"/>
        <v>1.0069344489376626</v>
      </c>
      <c r="AT9" s="9">
        <f t="shared" si="14"/>
        <v>1.0356650891286261</v>
      </c>
      <c r="AU9" s="9">
        <f t="shared" si="15"/>
        <v>1.000652528548124</v>
      </c>
      <c r="AV9" s="9">
        <f t="shared" si="16"/>
        <v>1</v>
      </c>
    </row>
    <row r="10" spans="1:48" ht="15.75">
      <c r="A10">
        <f t="shared" si="17"/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80</v>
      </c>
      <c r="G10" s="7" t="s">
        <v>8</v>
      </c>
      <c r="H10" s="7" t="s">
        <v>9</v>
      </c>
      <c r="I10" s="9" t="s">
        <v>45</v>
      </c>
      <c r="J10" s="9">
        <v>500</v>
      </c>
      <c r="K10" s="9">
        <v>0.8</v>
      </c>
      <c r="L10" s="28">
        <f>'[59]Arc Results'!$I$10960+'[59]Arc Results'!$I$10971+'[59]Arc Results'!$I$10982+'[59]Arc Results'!$I$10993+'[59]Arc Results'!$I$11004+'[59]Arc Results'!$I$11015+'[59]Arc Results'!$I$11026+'[59]Arc Results'!$I$11037+'[59]Arc Results'!$I$11048+'[59]Arc Results'!$I$11059+'[59]Arc Results'!$I$11070+'[59]Arc Results'!$I$11081+'[59]Arc Results'!$I$11092+'[59]Arc Results'!$I$11103+'[59]Arc Results'!$I$11114+'[59]Arc Results'!$I$11125+'[59]Arc Results'!$I$11136+'[59]Arc Results'!$I$11147+'[59]Arc Results'!$I$11158+'[59]Arc Results'!$I$11169+'[59]Arc Results'!$I$11180+'[59]Arc Results'!$I$11191+'[59]Arc Results'!$I$11202+'[59]Arc Results'!$I$11213+'[59]Arc Results'!$I$11224+'[59]Arc Results'!$I$11235+'[59]Arc Results'!$I$11246+'[59]Arc Results'!$I$11257+'[59]Arc Results'!$I$11268</f>
        <v>3965.7601832337218</v>
      </c>
      <c r="M10" s="28">
        <f>'[59]Arc Results'!$I$257</f>
        <v>6165.6637714285725</v>
      </c>
      <c r="N10" s="28">
        <f t="shared" si="1"/>
        <v>5671.9353281853282</v>
      </c>
      <c r="O10" s="28">
        <f t="shared" si="2"/>
        <v>9625.54054054054</v>
      </c>
      <c r="P10" s="28">
        <f t="shared" si="3"/>
        <v>6816.4883686296025</v>
      </c>
      <c r="Q10" s="28">
        <f t="shared" si="4"/>
        <v>3220.0000000000009</v>
      </c>
      <c r="R10" s="28">
        <f t="shared" si="5"/>
        <v>520.74710424710429</v>
      </c>
      <c r="S10" s="28">
        <f t="shared" si="6"/>
        <v>471.97297297297291</v>
      </c>
      <c r="T10" s="28">
        <f t="shared" si="7"/>
        <v>6130</v>
      </c>
      <c r="U10" s="38" t="str">
        <f>[59]Log!$K$2</f>
        <v>320.665.240,17</v>
      </c>
      <c r="V10" s="38" t="str">
        <f>[59]Log!$J$2</f>
        <v>47.021.289,99</v>
      </c>
      <c r="W10" s="38" t="str">
        <f>[59]Log!$N$2</f>
        <v>71.928.700,54</v>
      </c>
      <c r="X10" s="32">
        <f t="shared" si="8"/>
        <v>0</v>
      </c>
      <c r="Y10" s="28"/>
      <c r="Z10" s="33">
        <f t="shared" si="9"/>
        <v>38622.348086004116</v>
      </c>
      <c r="AA10" s="28">
        <f>'[59]Arc Results'!$I$15</f>
        <v>207.97297297297294</v>
      </c>
      <c r="AB10" s="28">
        <f>'[59]Arc Results'!$I$26</f>
        <v>264</v>
      </c>
      <c r="AC10" s="28">
        <f>'[59]Arc Results'!$I$48</f>
        <v>1509.0500000000009</v>
      </c>
      <c r="AD10" s="28">
        <f>'[59]Arc Results'!$I$59</f>
        <v>1710.9500000000003</v>
      </c>
      <c r="AE10" s="28">
        <f>'[59]Arc Results'!$I$114</f>
        <v>244.42277992277991</v>
      </c>
      <c r="AF10" s="28">
        <f>'[59]Arc Results'!$I$125</f>
        <v>276.32432432432432</v>
      </c>
      <c r="AG10" s="28">
        <f>'[59]Arc Results'!$I$147</f>
        <v>2816.1920849420849</v>
      </c>
      <c r="AH10" s="28">
        <f>'[59]Arc Results'!$I$158</f>
        <v>2855.7432432432433</v>
      </c>
      <c r="AI10" s="28">
        <f>'[59]Arc Results'!$I$213</f>
        <v>4636.0810810810808</v>
      </c>
      <c r="AJ10" s="28">
        <f>'[59]Arc Results'!$I$224</f>
        <v>4989.4594594594591</v>
      </c>
      <c r="AK10" s="28">
        <f>'[59]Arc Results'!$I$180</f>
        <v>3063</v>
      </c>
      <c r="AL10" s="28">
        <f>'[59]Arc Results'!$I$191</f>
        <v>3067</v>
      </c>
      <c r="AM10" s="28">
        <f>'[59]Arc Results'!$I$81</f>
        <v>3408.2441843148013</v>
      </c>
      <c r="AN10" s="28">
        <f>'[59]Arc Results'!$I$81</f>
        <v>3408.2441843148013</v>
      </c>
      <c r="AP10" s="9">
        <f t="shared" si="10"/>
        <v>1.1187081257515892</v>
      </c>
      <c r="AQ10" s="9">
        <f t="shared" si="11"/>
        <v>1.062701863354037</v>
      </c>
      <c r="AR10" s="9">
        <f t="shared" si="12"/>
        <v>1.0612611076304832</v>
      </c>
      <c r="AS10" s="9">
        <f t="shared" si="13"/>
        <v>1.0069731328043567</v>
      </c>
      <c r="AT10" s="9">
        <f t="shared" si="14"/>
        <v>1.0367125749343666</v>
      </c>
      <c r="AU10" s="9">
        <f t="shared" si="15"/>
        <v>1.000652528548124</v>
      </c>
      <c r="AV10" s="9">
        <f t="shared" si="16"/>
        <v>1</v>
      </c>
    </row>
    <row r="11" spans="1:48" ht="15.75">
      <c r="A11">
        <f t="shared" si="17"/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81</v>
      </c>
      <c r="G11" s="7" t="s">
        <v>8</v>
      </c>
      <c r="H11" s="7" t="s">
        <v>9</v>
      </c>
      <c r="I11" s="9" t="s">
        <v>45</v>
      </c>
      <c r="J11" s="9">
        <v>500</v>
      </c>
      <c r="K11" s="9">
        <v>0.8</v>
      </c>
      <c r="L11" s="28">
        <f>'[60]Arc Results'!$I$10960+'[60]Arc Results'!$I$10971+'[60]Arc Results'!$I$10982+'[60]Arc Results'!$I$10993+'[60]Arc Results'!$I$11004+'[60]Arc Results'!$I$11015+'[60]Arc Results'!$I$11026+'[60]Arc Results'!$I$11037+'[60]Arc Results'!$I$11048+'[60]Arc Results'!$I$11059+'[60]Arc Results'!$I$11070+'[60]Arc Results'!$I$11081+'[60]Arc Results'!$I$11092+'[60]Arc Results'!$I$11103+'[60]Arc Results'!$I$11114+'[60]Arc Results'!$I$11125+'[60]Arc Results'!$I$11136+'[60]Arc Results'!$I$11147+'[60]Arc Results'!$I$11158+'[60]Arc Results'!$I$11169+'[60]Arc Results'!$I$11180+'[60]Arc Results'!$I$11191+'[60]Arc Results'!$I$11202+'[60]Arc Results'!$I$11213+'[60]Arc Results'!$I$11224+'[60]Arc Results'!$I$11235+'[60]Arc Results'!$I$11246+'[60]Arc Results'!$I$11257+'[60]Arc Results'!$I$11268</f>
        <v>3968.2519371428612</v>
      </c>
      <c r="M11" s="28">
        <f>'[60]Arc Results'!$I$257</f>
        <v>6165.6637714285789</v>
      </c>
      <c r="N11" s="28">
        <f t="shared" si="1"/>
        <v>5703.5762548262555</v>
      </c>
      <c r="O11" s="28">
        <f t="shared" si="2"/>
        <v>9864.3039989866156</v>
      </c>
      <c r="P11" s="28">
        <f t="shared" si="3"/>
        <v>7243.516409266409</v>
      </c>
      <c r="Q11" s="28">
        <f t="shared" si="4"/>
        <v>2187.5125482625481</v>
      </c>
      <c r="R11" s="28">
        <f t="shared" si="5"/>
        <v>671.99999999999989</v>
      </c>
      <c r="S11" s="28">
        <f t="shared" si="6"/>
        <v>518.18918918918916</v>
      </c>
      <c r="T11" s="28">
        <f t="shared" si="7"/>
        <v>6130</v>
      </c>
      <c r="U11" s="38" t="str">
        <f>[60]Log!$K$2</f>
        <v>326.700.116,43</v>
      </c>
      <c r="V11" s="38" t="str">
        <f>[60]Log!$J$2</f>
        <v>47.021.289,99</v>
      </c>
      <c r="W11" s="38" t="str">
        <f>[60]Log!$N$2</f>
        <v>71.928.700,54</v>
      </c>
      <c r="X11" s="32">
        <f t="shared" si="8"/>
        <v>0</v>
      </c>
      <c r="Y11" s="28"/>
      <c r="Z11" s="33">
        <f t="shared" si="9"/>
        <v>38484.762171959592</v>
      </c>
      <c r="AA11" s="28">
        <f>'[60]Arc Results'!$I$15</f>
        <v>254.18918918918914</v>
      </c>
      <c r="AB11" s="28">
        <f>'[60]Arc Results'!$I$26</f>
        <v>264</v>
      </c>
      <c r="AC11" s="28">
        <f>'[60]Arc Results'!$I$48</f>
        <v>942.87548262548262</v>
      </c>
      <c r="AD11" s="28">
        <f>'[60]Arc Results'!$I$59</f>
        <v>1244.6370656370657</v>
      </c>
      <c r="AE11" s="28">
        <f>'[60]Arc Results'!$I$114</f>
        <v>335.69999999999987</v>
      </c>
      <c r="AF11" s="28">
        <f>'[60]Arc Results'!$I$125</f>
        <v>336.3</v>
      </c>
      <c r="AG11" s="28">
        <f>'[60]Arc Results'!$I$147</f>
        <v>2832.0125482625485</v>
      </c>
      <c r="AH11" s="28">
        <f>'[60]Arc Results'!$I$158</f>
        <v>2871.5637065637065</v>
      </c>
      <c r="AI11" s="28">
        <f>'[60]Arc Results'!$I$213</f>
        <v>4777.4324324324325</v>
      </c>
      <c r="AJ11" s="28">
        <f>'[60]Arc Results'!$I$224</f>
        <v>5086.8715665541831</v>
      </c>
      <c r="AK11" s="28">
        <f>'[60]Arc Results'!$I$180</f>
        <v>3063</v>
      </c>
      <c r="AL11" s="28">
        <f>'[60]Arc Results'!$I$191</f>
        <v>3067</v>
      </c>
      <c r="AM11" s="28">
        <f>'[60]Arc Results'!$I$81</f>
        <v>3621.7582046332045</v>
      </c>
      <c r="AN11" s="28">
        <f>'[60]Arc Results'!$I$81</f>
        <v>3621.7582046332045</v>
      </c>
      <c r="AP11" s="9">
        <f t="shared" si="10"/>
        <v>1.0189328743545611</v>
      </c>
      <c r="AQ11" s="9">
        <f t="shared" si="11"/>
        <v>1.1379473609197168</v>
      </c>
      <c r="AR11" s="9">
        <f t="shared" si="12"/>
        <v>1.0008928571428573</v>
      </c>
      <c r="AS11" s="9">
        <f t="shared" si="13"/>
        <v>1.0069344489376626</v>
      </c>
      <c r="AT11" s="9">
        <f t="shared" si="14"/>
        <v>1.0313695861515968</v>
      </c>
      <c r="AU11" s="9">
        <f t="shared" si="15"/>
        <v>1.000652528548124</v>
      </c>
      <c r="AV11" s="9">
        <f t="shared" si="16"/>
        <v>1</v>
      </c>
    </row>
    <row r="12" spans="1:48" ht="15.75">
      <c r="A12">
        <f t="shared" si="17"/>
        <v>8</v>
      </c>
      <c r="B12" s="9">
        <v>2020</v>
      </c>
      <c r="C12" s="9" t="s">
        <v>4</v>
      </c>
      <c r="D12" s="9" t="s">
        <v>5</v>
      </c>
      <c r="E12" s="7" t="s">
        <v>6</v>
      </c>
      <c r="F12" s="20" t="s">
        <v>82</v>
      </c>
      <c r="G12" s="7" t="s">
        <v>8</v>
      </c>
      <c r="H12" s="7" t="s">
        <v>9</v>
      </c>
      <c r="I12" s="9" t="s">
        <v>45</v>
      </c>
      <c r="J12" s="9">
        <v>500</v>
      </c>
      <c r="K12" s="9">
        <v>0.8</v>
      </c>
      <c r="L12" s="28">
        <f>'[61]Arc Results'!$I$10960+'[61]Arc Results'!$I$10971+'[61]Arc Results'!$I$10982+'[61]Arc Results'!$I$10993+'[61]Arc Results'!$I$11004+'[61]Arc Results'!$I$11015+'[61]Arc Results'!$I$11026+'[61]Arc Results'!$I$11037+'[61]Arc Results'!$I$11048+'[61]Arc Results'!$I$11059+'[61]Arc Results'!$I$11070+'[61]Arc Results'!$I$11081+'[61]Arc Results'!$I$11092+'[61]Arc Results'!$I$11103+'[61]Arc Results'!$I$11114+'[61]Arc Results'!$I$11125+'[61]Arc Results'!$I$11136+'[61]Arc Results'!$I$11147+'[61]Arc Results'!$I$11158+'[61]Arc Results'!$I$11169+'[61]Arc Results'!$I$11180+'[61]Arc Results'!$I$11191+'[61]Arc Results'!$I$11202+'[61]Arc Results'!$I$11213+'[61]Arc Results'!$I$11224+'[61]Arc Results'!$I$11235+'[61]Arc Results'!$I$11246+'[61]Arc Results'!$I$11257+'[61]Arc Results'!$I$11268</f>
        <v>4095.248365714287</v>
      </c>
      <c r="M12" s="28">
        <f>'[61]Arc Results'!$I$257</f>
        <v>6165.6637714285343</v>
      </c>
      <c r="N12" s="28">
        <f t="shared" si="1"/>
        <v>5490.0000000000018</v>
      </c>
      <c r="O12" s="28">
        <f t="shared" si="2"/>
        <v>9978.9189189189201</v>
      </c>
      <c r="P12" s="28">
        <f t="shared" si="3"/>
        <v>7534.1293436293436</v>
      </c>
      <c r="Q12" s="28">
        <f t="shared" si="4"/>
        <v>2247.864864864865</v>
      </c>
      <c r="R12" s="28">
        <f t="shared" si="5"/>
        <v>552.64864864864865</v>
      </c>
      <c r="S12" s="28">
        <f t="shared" si="6"/>
        <v>528</v>
      </c>
      <c r="T12" s="28">
        <f t="shared" si="7"/>
        <v>6130</v>
      </c>
      <c r="U12" s="38" t="str">
        <f>[61]Log!$K$2</f>
        <v>341.198.003,27</v>
      </c>
      <c r="V12" s="38" t="str">
        <f>[61]Log!$J$2</f>
        <v>47.021.289,99</v>
      </c>
      <c r="W12" s="38" t="str">
        <f>[61]Log!$N$2</f>
        <v>71.928.700,54</v>
      </c>
      <c r="X12" s="32">
        <f t="shared" si="8"/>
        <v>0</v>
      </c>
      <c r="Y12" s="28"/>
      <c r="Z12" s="33">
        <f t="shared" si="9"/>
        <v>38627.225547490321</v>
      </c>
      <c r="AA12" s="28">
        <f>'[61]Arc Results'!$I$15</f>
        <v>264</v>
      </c>
      <c r="AB12" s="28">
        <f>'[61]Arc Results'!$I$26</f>
        <v>264</v>
      </c>
      <c r="AC12" s="28">
        <f>'[61]Arc Results'!$I$48</f>
        <v>1003.2277992277992</v>
      </c>
      <c r="AD12" s="28">
        <f>'[61]Arc Results'!$I$59</f>
        <v>1244.6370656370657</v>
      </c>
      <c r="AE12" s="28">
        <f>'[61]Arc Results'!$I$114</f>
        <v>263.56370656370655</v>
      </c>
      <c r="AF12" s="28">
        <f>'[61]Arc Results'!$I$125</f>
        <v>289.0849420849421</v>
      </c>
      <c r="AG12" s="28">
        <f>'[61]Arc Results'!$I$147</f>
        <v>2745</v>
      </c>
      <c r="AH12" s="28">
        <f>'[61]Arc Results'!$I$158</f>
        <v>2745.0000000000018</v>
      </c>
      <c r="AI12" s="28">
        <f>'[61]Arc Results'!$I$213</f>
        <v>4848.1081081081084</v>
      </c>
      <c r="AJ12" s="28">
        <f>'[61]Arc Results'!$I$224</f>
        <v>5130.8108108108108</v>
      </c>
      <c r="AK12" s="28">
        <f>'[61]Arc Results'!$I$180</f>
        <v>3063</v>
      </c>
      <c r="AL12" s="28">
        <f>'[61]Arc Results'!$I$191</f>
        <v>3067</v>
      </c>
      <c r="AM12" s="28">
        <f>'[61]Arc Results'!$I$81</f>
        <v>3767.0646718146718</v>
      </c>
      <c r="AN12" s="28">
        <f>'[61]Arc Results'!$I$81</f>
        <v>3767.0646718146718</v>
      </c>
      <c r="AP12" s="9">
        <f t="shared" si="10"/>
        <v>1</v>
      </c>
      <c r="AQ12" s="9">
        <f t="shared" si="11"/>
        <v>1.1073949195890738</v>
      </c>
      <c r="AR12" s="9">
        <f t="shared" si="12"/>
        <v>1.0461798569192935</v>
      </c>
      <c r="AS12" s="9">
        <f t="shared" si="13"/>
        <v>1.0000000000000002</v>
      </c>
      <c r="AT12" s="9">
        <f t="shared" si="14"/>
        <v>1.0283299929581278</v>
      </c>
      <c r="AU12" s="9">
        <f t="shared" si="15"/>
        <v>1.000652528548124</v>
      </c>
      <c r="AV12" s="9">
        <f t="shared" si="16"/>
        <v>1</v>
      </c>
    </row>
    <row r="13" spans="1:48" ht="15.75">
      <c r="A13">
        <f t="shared" si="17"/>
        <v>9</v>
      </c>
      <c r="B13" s="9">
        <v>2020</v>
      </c>
      <c r="C13" s="9" t="s">
        <v>4</v>
      </c>
      <c r="D13" s="9" t="s">
        <v>5</v>
      </c>
      <c r="E13" s="7" t="s">
        <v>6</v>
      </c>
      <c r="F13" s="20" t="s">
        <v>83</v>
      </c>
      <c r="G13" s="7" t="s">
        <v>8</v>
      </c>
      <c r="H13" s="7" t="s">
        <v>9</v>
      </c>
      <c r="I13" s="9" t="s">
        <v>45</v>
      </c>
      <c r="J13" s="9">
        <v>500</v>
      </c>
      <c r="K13" s="9">
        <v>0.8</v>
      </c>
      <c r="L13" s="28">
        <f>'[62]Arc Results'!$I$10960+'[62]Arc Results'!$I$10971+'[62]Arc Results'!$I$10982+'[62]Arc Results'!$I$10993+'[62]Arc Results'!$I$11004+'[62]Arc Results'!$I$11015+'[62]Arc Results'!$I$11026+'[62]Arc Results'!$I$11037+'[62]Arc Results'!$I$11048+'[62]Arc Results'!$I$11059+'[62]Arc Results'!$I$11070+'[62]Arc Results'!$I$11081+'[62]Arc Results'!$I$11092+'[62]Arc Results'!$I$11103+'[62]Arc Results'!$I$11114+'[62]Arc Results'!$I$11125+'[62]Arc Results'!$I$11136+'[62]Arc Results'!$I$11147+'[62]Arc Results'!$I$11158+'[62]Arc Results'!$I$11169+'[62]Arc Results'!$I$11180+'[62]Arc Results'!$I$11191+'[62]Arc Results'!$I$11202+'[62]Arc Results'!$I$11213+'[62]Arc Results'!$I$11224+'[62]Arc Results'!$I$11235+'[62]Arc Results'!$I$11246+'[62]Arc Results'!$I$11257+'[62]Arc Results'!$I$11268</f>
        <v>4163.6448679184077</v>
      </c>
      <c r="M13" s="28">
        <f>'[62]Arc Results'!$I$257</f>
        <v>6165.6637714285789</v>
      </c>
      <c r="N13" s="28">
        <f t="shared" si="1"/>
        <v>5766.8581081081084</v>
      </c>
      <c r="O13" s="28">
        <f t="shared" si="2"/>
        <v>8058.8963963963961</v>
      </c>
      <c r="P13" s="28">
        <f t="shared" si="3"/>
        <v>8696.5810810810799</v>
      </c>
      <c r="Q13" s="28">
        <f t="shared" si="4"/>
        <v>2686.7584713160895</v>
      </c>
      <c r="R13" s="28">
        <f t="shared" si="5"/>
        <v>597.31081081081084</v>
      </c>
      <c r="S13" s="28">
        <f t="shared" si="6"/>
        <v>528</v>
      </c>
      <c r="T13" s="28">
        <f t="shared" si="7"/>
        <v>6130</v>
      </c>
      <c r="U13" s="38" t="str">
        <f>[62]Log!$K$2</f>
        <v>349.021.238,48</v>
      </c>
      <c r="V13" s="38" t="str">
        <f>[62]Log!$J$2</f>
        <v>47.021.289,99</v>
      </c>
      <c r="W13" s="38" t="str">
        <f>[62]Log!$N$2</f>
        <v>71.928.700,54</v>
      </c>
      <c r="X13" s="32">
        <f t="shared" si="8"/>
        <v>0</v>
      </c>
      <c r="Y13" s="28"/>
      <c r="Z13" s="33">
        <f t="shared" si="9"/>
        <v>38630.068639141064</v>
      </c>
      <c r="AA13" s="28">
        <f>'[62]Arc Results'!$I$15</f>
        <v>264</v>
      </c>
      <c r="AB13" s="28">
        <f>'[62]Arc Results'!$I$26</f>
        <v>264</v>
      </c>
      <c r="AC13" s="28">
        <f>'[62]Arc Results'!$I$48</f>
        <v>1200.7121392697575</v>
      </c>
      <c r="AD13" s="28">
        <f>'[62]Arc Results'!$I$59</f>
        <v>1486.0463320463321</v>
      </c>
      <c r="AE13" s="28">
        <f>'[62]Arc Results'!$I$114</f>
        <v>282.70463320463318</v>
      </c>
      <c r="AF13" s="28">
        <f>'[62]Arc Results'!$I$125</f>
        <v>314.6061776061776</v>
      </c>
      <c r="AG13" s="28">
        <f>'[62]Arc Results'!$I$147</f>
        <v>2863.6534749034749</v>
      </c>
      <c r="AH13" s="28">
        <f>'[62]Arc Results'!$I$158</f>
        <v>2903.2046332046334</v>
      </c>
      <c r="AI13" s="28">
        <f>'[62]Arc Results'!$I$213</f>
        <v>4000</v>
      </c>
      <c r="AJ13" s="28">
        <f>'[62]Arc Results'!$I$224</f>
        <v>4058.8963963963965</v>
      </c>
      <c r="AK13" s="28">
        <f>'[62]Arc Results'!$I$180</f>
        <v>3063</v>
      </c>
      <c r="AL13" s="28">
        <f>'[62]Arc Results'!$I$191</f>
        <v>3067.0000000000005</v>
      </c>
      <c r="AM13" s="28">
        <f>'[62]Arc Results'!$I$81</f>
        <v>4348.29054054054</v>
      </c>
      <c r="AN13" s="28">
        <f>'[62]Arc Results'!$I$81</f>
        <v>4348.29054054054</v>
      </c>
      <c r="AP13" s="9">
        <f t="shared" si="10"/>
        <v>1</v>
      </c>
      <c r="AQ13" s="9">
        <f t="shared" si="11"/>
        <v>1.1062001649284112</v>
      </c>
      <c r="AR13" s="9">
        <f t="shared" si="12"/>
        <v>1.0534086171288948</v>
      </c>
      <c r="AS13" s="9">
        <f t="shared" si="13"/>
        <v>1.0068583546811305</v>
      </c>
      <c r="AT13" s="9">
        <f t="shared" si="14"/>
        <v>1.0073082458812515</v>
      </c>
      <c r="AU13" s="9">
        <f t="shared" si="15"/>
        <v>1.000652528548124</v>
      </c>
      <c r="AV13" s="9">
        <f t="shared" si="16"/>
        <v>1</v>
      </c>
    </row>
    <row r="14" spans="1:48" ht="15.75">
      <c r="A14">
        <f t="shared" si="17"/>
        <v>10</v>
      </c>
      <c r="B14" s="9">
        <v>2020</v>
      </c>
      <c r="C14" s="9" t="s">
        <v>4</v>
      </c>
      <c r="D14" s="9" t="s">
        <v>5</v>
      </c>
      <c r="E14" s="7" t="s">
        <v>6</v>
      </c>
      <c r="F14" s="20" t="s">
        <v>84</v>
      </c>
      <c r="G14" s="7" t="s">
        <v>8</v>
      </c>
      <c r="H14" s="7" t="s">
        <v>9</v>
      </c>
      <c r="I14" s="9" t="s">
        <v>45</v>
      </c>
      <c r="J14" s="9">
        <v>500</v>
      </c>
      <c r="K14" s="9">
        <v>0.8</v>
      </c>
      <c r="L14" s="28">
        <f>'[63]Arc Results'!$I$10960+'[63]Arc Results'!$I$10971+'[63]Arc Results'!$I$10982+'[63]Arc Results'!$I$10993+'[63]Arc Results'!$I$11004+'[63]Arc Results'!$I$11015+'[63]Arc Results'!$I$11026+'[63]Arc Results'!$I$11037+'[63]Arc Results'!$I$11048+'[63]Arc Results'!$I$11059+'[63]Arc Results'!$I$11070+'[63]Arc Results'!$I$11081+'[63]Arc Results'!$I$11092+'[63]Arc Results'!$I$11103+'[63]Arc Results'!$I$11114+'[63]Arc Results'!$I$11125+'[63]Arc Results'!$I$11136+'[63]Arc Results'!$I$11147+'[63]Arc Results'!$I$11158+'[63]Arc Results'!$I$11169+'[63]Arc Results'!$I$11180+'[63]Arc Results'!$I$11191+'[63]Arc Results'!$I$11202+'[63]Arc Results'!$I$11213+'[63]Arc Results'!$I$11224+'[63]Arc Results'!$I$11235+'[63]Arc Results'!$I$11246+'[63]Arc Results'!$I$11257+'[63]Arc Results'!$I$11268</f>
        <v>3564.5676707335929</v>
      </c>
      <c r="M14" s="28">
        <f>'[63]Arc Results'!$I$257</f>
        <v>6165.6637714285416</v>
      </c>
      <c r="N14" s="28">
        <f t="shared" si="1"/>
        <v>6124.0000000000009</v>
      </c>
      <c r="O14" s="28">
        <f t="shared" si="2"/>
        <v>11504</v>
      </c>
      <c r="P14" s="28">
        <f t="shared" si="3"/>
        <v>4628</v>
      </c>
      <c r="Q14" s="28">
        <f t="shared" si="4"/>
        <v>3136.6440154440152</v>
      </c>
      <c r="R14" s="28">
        <f t="shared" si="5"/>
        <v>644.5258687258688</v>
      </c>
      <c r="S14" s="28">
        <f t="shared" si="6"/>
        <v>528</v>
      </c>
      <c r="T14" s="28">
        <f t="shared" si="7"/>
        <v>6130</v>
      </c>
      <c r="U14" s="38" t="str">
        <f>[63]Log!$K$2</f>
        <v>343.462.380,25</v>
      </c>
      <c r="V14" s="38" t="str">
        <f>[63]Log!$J$2</f>
        <v>47.021.289,99</v>
      </c>
      <c r="W14" s="38" t="str">
        <f>[63]Log!$N$2</f>
        <v>71.928.700,54</v>
      </c>
      <c r="X14" s="32">
        <f t="shared" si="8"/>
        <v>0</v>
      </c>
      <c r="Y14" s="28"/>
      <c r="Z14" s="33">
        <f t="shared" si="9"/>
        <v>38860.833655598428</v>
      </c>
      <c r="AA14" s="28">
        <f>'[63]Arc Results'!$I$15</f>
        <v>264</v>
      </c>
      <c r="AB14" s="28">
        <f>'[63]Arc Results'!$I$26</f>
        <v>264</v>
      </c>
      <c r="AC14" s="28">
        <f>'[63]Arc Results'!$I$48</f>
        <v>1425.6940154440153</v>
      </c>
      <c r="AD14" s="28">
        <f>'[63]Arc Results'!$I$59</f>
        <v>1710.95</v>
      </c>
      <c r="AE14" s="28">
        <f>'[63]Arc Results'!$I$114</f>
        <v>308.22586872586874</v>
      </c>
      <c r="AF14" s="28">
        <f>'[63]Arc Results'!$I$125</f>
        <v>336.3</v>
      </c>
      <c r="AG14" s="28">
        <f>'[63]Arc Results'!$I$147</f>
        <v>2871.5637065637065</v>
      </c>
      <c r="AH14" s="28">
        <f>'[63]Arc Results'!$I$158</f>
        <v>3252.4362934362944</v>
      </c>
      <c r="AI14" s="28">
        <f>'[63]Arc Results'!$I$213</f>
        <v>5176.8</v>
      </c>
      <c r="AJ14" s="28">
        <f>'[63]Arc Results'!$I$224</f>
        <v>6327.2000000000007</v>
      </c>
      <c r="AK14" s="28">
        <f>'[63]Arc Results'!$I$180</f>
        <v>3063</v>
      </c>
      <c r="AL14" s="28">
        <f>'[63]Arc Results'!$I$191</f>
        <v>3067</v>
      </c>
      <c r="AM14" s="28">
        <f>'[63]Arc Results'!$I$81</f>
        <v>2314</v>
      </c>
      <c r="AN14" s="28">
        <f>'[63]Arc Results'!$I$81</f>
        <v>2314</v>
      </c>
      <c r="AP14" s="9">
        <f t="shared" si="10"/>
        <v>1</v>
      </c>
      <c r="AQ14" s="9">
        <f t="shared" si="11"/>
        <v>1.0909430535156235</v>
      </c>
      <c r="AR14" s="9">
        <f t="shared" si="12"/>
        <v>1.0435578037071338</v>
      </c>
      <c r="AS14" s="9">
        <f t="shared" si="13"/>
        <v>1.0621934335193643</v>
      </c>
      <c r="AT14" s="9">
        <f t="shared" si="14"/>
        <v>1.1000000000000001</v>
      </c>
      <c r="AU14" s="9">
        <f t="shared" si="15"/>
        <v>1.000652528548124</v>
      </c>
      <c r="AV14" s="9">
        <f t="shared" si="16"/>
        <v>1</v>
      </c>
    </row>
    <row r="15" spans="1:48" ht="15.75">
      <c r="A15">
        <f t="shared" si="17"/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20" t="s">
        <v>85</v>
      </c>
      <c r="G15" s="7" t="s">
        <v>8</v>
      </c>
      <c r="H15" s="7" t="s">
        <v>9</v>
      </c>
      <c r="I15" s="9" t="s">
        <v>45</v>
      </c>
      <c r="J15" s="9">
        <v>500</v>
      </c>
      <c r="K15" s="9">
        <v>0.8</v>
      </c>
      <c r="L15" s="28">
        <f>'[64]Arc Results'!$I$10960+'[64]Arc Results'!$I$10971+'[64]Arc Results'!$I$10982+'[64]Arc Results'!$I$10993+'[64]Arc Results'!$I$11004+'[64]Arc Results'!$I$11015+'[64]Arc Results'!$I$11026+'[64]Arc Results'!$I$11037+'[64]Arc Results'!$I$11048+'[64]Arc Results'!$I$11059+'[64]Arc Results'!$I$11070+'[64]Arc Results'!$I$11081+'[64]Arc Results'!$I$11092+'[64]Arc Results'!$I$11103+'[64]Arc Results'!$I$11114+'[64]Arc Results'!$I$11125+'[64]Arc Results'!$I$11136+'[64]Arc Results'!$I$11147+'[64]Arc Results'!$I$11158+'[64]Arc Results'!$I$11169+'[64]Arc Results'!$I$11180+'[64]Arc Results'!$I$11191+'[64]Arc Results'!$I$11202+'[64]Arc Results'!$I$11213+'[64]Arc Results'!$I$11224+'[64]Arc Results'!$I$11235+'[64]Arc Results'!$I$11246+'[64]Arc Results'!$I$11257+'[64]Arc Results'!$I$11268</f>
        <v>3944.9027508012919</v>
      </c>
      <c r="M15" s="28">
        <f>'[64]Arc Results'!$I$257</f>
        <v>6165.6637714285607</v>
      </c>
      <c r="N15" s="28">
        <f t="shared" si="1"/>
        <v>5719.3967181467178</v>
      </c>
      <c r="O15" s="28">
        <f t="shared" si="2"/>
        <v>10049.594594594595</v>
      </c>
      <c r="P15" s="28">
        <f t="shared" si="3"/>
        <v>7534.1293436293436</v>
      </c>
      <c r="Q15" s="28">
        <f t="shared" si="4"/>
        <v>2326.9487866314048</v>
      </c>
      <c r="R15" s="28">
        <f t="shared" si="5"/>
        <v>559.02895752895756</v>
      </c>
      <c r="S15" s="28">
        <f t="shared" si="6"/>
        <v>0</v>
      </c>
      <c r="T15" s="28">
        <f t="shared" si="7"/>
        <v>6130</v>
      </c>
      <c r="U15" s="38" t="str">
        <f>[64]Log!$K$2</f>
        <v>328.843.672,98</v>
      </c>
      <c r="V15" s="38" t="str">
        <f>[64]Log!$J$2</f>
        <v>47.021.289,99</v>
      </c>
      <c r="W15" s="38" t="str">
        <f>[64]Log!$N$2</f>
        <v>71.928.700,54</v>
      </c>
      <c r="X15" s="32">
        <f t="shared" si="8"/>
        <v>0</v>
      </c>
      <c r="Y15" s="28"/>
      <c r="Z15" s="33">
        <f t="shared" si="9"/>
        <v>38484.762171959577</v>
      </c>
      <c r="AA15" s="28">
        <f>'[64]Arc Results'!$I$15</f>
        <v>0</v>
      </c>
      <c r="AB15" s="28">
        <f>'[64]Arc Results'!$I$26</f>
        <v>0</v>
      </c>
      <c r="AC15" s="28">
        <f>'[64]Arc Results'!$I$48</f>
        <v>1021.9594043920229</v>
      </c>
      <c r="AD15" s="28">
        <f>'[64]Arc Results'!$I$59</f>
        <v>1304.9893822393822</v>
      </c>
      <c r="AE15" s="28">
        <f>'[64]Arc Results'!$I$114</f>
        <v>263.56370656370655</v>
      </c>
      <c r="AF15" s="28">
        <f>'[64]Arc Results'!$I$125</f>
        <v>295.46525096525096</v>
      </c>
      <c r="AG15" s="28">
        <f>'[64]Arc Results'!$I$147</f>
        <v>2839.9227799227801</v>
      </c>
      <c r="AH15" s="28">
        <f>'[64]Arc Results'!$I$158</f>
        <v>2879.4739382239381</v>
      </c>
      <c r="AI15" s="28">
        <f>'[64]Arc Results'!$I$213</f>
        <v>4848.1081081081084</v>
      </c>
      <c r="AJ15" s="28">
        <f>'[64]Arc Results'!$I$224</f>
        <v>5201.4864864864867</v>
      </c>
      <c r="AK15" s="28">
        <f>'[64]Arc Results'!$I$180</f>
        <v>3063</v>
      </c>
      <c r="AL15" s="28">
        <f>'[64]Arc Results'!$I$191</f>
        <v>3067.0000000000005</v>
      </c>
      <c r="AM15" s="28">
        <f>'[64]Arc Results'!$I$81</f>
        <v>3767.0646718146718</v>
      </c>
      <c r="AN15" s="28">
        <f>'[64]Arc Results'!$I$81</f>
        <v>3767.0646718146718</v>
      </c>
      <c r="AP15" s="9" t="e">
        <f t="shared" si="10"/>
        <v>#DIV/0!</v>
      </c>
      <c r="AQ15" s="9">
        <f t="shared" si="11"/>
        <v>1.1216313738718273</v>
      </c>
      <c r="AR15" s="9">
        <f t="shared" si="12"/>
        <v>1.0570659962635154</v>
      </c>
      <c r="AS15" s="9">
        <f t="shared" si="13"/>
        <v>1.0069152675098878</v>
      </c>
      <c r="AT15" s="9">
        <f t="shared" si="14"/>
        <v>1.0351634461521912</v>
      </c>
      <c r="AU15" s="9">
        <f t="shared" si="15"/>
        <v>1.000652528548124</v>
      </c>
      <c r="AV15" s="9">
        <f t="shared" si="16"/>
        <v>1</v>
      </c>
    </row>
    <row r="16" spans="1:48" ht="15.75">
      <c r="A16">
        <f t="shared" si="17"/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20" t="s">
        <v>86</v>
      </c>
      <c r="G16" s="7" t="s">
        <v>8</v>
      </c>
      <c r="H16" s="7" t="s">
        <v>9</v>
      </c>
      <c r="I16" s="9" t="s">
        <v>45</v>
      </c>
      <c r="J16" s="9">
        <v>500</v>
      </c>
      <c r="K16" s="9">
        <v>0.8</v>
      </c>
      <c r="L16" s="28">
        <f>'[65]Arc Results'!$I$10960+'[65]Arc Results'!$I$10971+'[65]Arc Results'!$I$10982+'[65]Arc Results'!$I$10993+'[65]Arc Results'!$I$11004+'[65]Arc Results'!$I$11015+'[65]Arc Results'!$I$11026+'[65]Arc Results'!$I$11037+'[65]Arc Results'!$I$11048+'[65]Arc Results'!$I$11059+'[65]Arc Results'!$I$11070+'[65]Arc Results'!$I$11081+'[65]Arc Results'!$I$11092+'[65]Arc Results'!$I$11103+'[65]Arc Results'!$I$11114+'[65]Arc Results'!$I$11125+'[65]Arc Results'!$I$11136+'[65]Arc Results'!$I$11147+'[65]Arc Results'!$I$11158+'[65]Arc Results'!$I$11169+'[65]Arc Results'!$I$11180+'[65]Arc Results'!$I$11191+'[65]Arc Results'!$I$11202+'[65]Arc Results'!$I$11213+'[65]Arc Results'!$I$11224+'[65]Arc Results'!$I$11235+'[65]Arc Results'!$I$11246+'[65]Arc Results'!$I$11257+'[65]Arc Results'!$I$11268</f>
        <v>4156.7613966023182</v>
      </c>
      <c r="M16" s="28">
        <f>'[65]Arc Results'!$I$257</f>
        <v>6165.6637714285807</v>
      </c>
      <c r="N16" s="28">
        <f t="shared" si="1"/>
        <v>5758.9478764478772</v>
      </c>
      <c r="O16" s="28">
        <f t="shared" si="2"/>
        <v>10402.972972972973</v>
      </c>
      <c r="P16" s="28">
        <f t="shared" si="3"/>
        <v>8405.9681467181472</v>
      </c>
      <c r="Q16" s="28">
        <f t="shared" si="4"/>
        <v>608.29359716859722</v>
      </c>
      <c r="R16" s="28">
        <f t="shared" si="5"/>
        <v>590.93050193050192</v>
      </c>
      <c r="S16" s="28">
        <f t="shared" si="6"/>
        <v>528</v>
      </c>
      <c r="T16" s="28">
        <f t="shared" si="7"/>
        <v>6130</v>
      </c>
      <c r="U16" s="38" t="str">
        <f>[65]Log!$K$2</f>
        <v>331.277.679,49</v>
      </c>
      <c r="V16" s="38" t="str">
        <f>[65]Log!$J$2</f>
        <v>47.021.289,99</v>
      </c>
      <c r="W16" s="38" t="str">
        <f>[65]Log!$N$2</f>
        <v>71.928.700,54</v>
      </c>
      <c r="X16" s="32">
        <f t="shared" si="8"/>
        <v>0</v>
      </c>
      <c r="Y16" s="28"/>
      <c r="Z16" s="33">
        <f t="shared" si="9"/>
        <v>38590.776866666682</v>
      </c>
      <c r="AA16" s="28">
        <f>'[65]Arc Results'!$I$15</f>
        <v>264</v>
      </c>
      <c r="AB16" s="28">
        <f>'[65]Arc Results'!$I$26</f>
        <v>264</v>
      </c>
      <c r="AC16" s="28">
        <f>'[65]Arc Results'!$I$48</f>
        <v>279</v>
      </c>
      <c r="AD16" s="28">
        <f>'[65]Arc Results'!$I$59</f>
        <v>329.29359716859716</v>
      </c>
      <c r="AE16" s="28">
        <f>'[65]Arc Results'!$I$114</f>
        <v>282.70463320463318</v>
      </c>
      <c r="AF16" s="28">
        <f>'[65]Arc Results'!$I$125</f>
        <v>308.22586872586874</v>
      </c>
      <c r="AG16" s="28">
        <f>'[65]Arc Results'!$I$147</f>
        <v>2863.6534749034749</v>
      </c>
      <c r="AH16" s="28">
        <f>'[65]Arc Results'!$I$158</f>
        <v>2895.2944015444018</v>
      </c>
      <c r="AI16" s="28">
        <f>'[65]Arc Results'!$I$213</f>
        <v>5060.135135135135</v>
      </c>
      <c r="AJ16" s="28">
        <f>'[65]Arc Results'!$I$224</f>
        <v>5342.8378378378375</v>
      </c>
      <c r="AK16" s="28">
        <f>'[65]Arc Results'!$I$180</f>
        <v>3063</v>
      </c>
      <c r="AL16" s="28">
        <f>'[65]Arc Results'!$I$191</f>
        <v>3067</v>
      </c>
      <c r="AM16" s="28">
        <f>'[65]Arc Results'!$I$81</f>
        <v>4202.9840733590736</v>
      </c>
      <c r="AN16" s="28">
        <f>'[65]Arc Results'!$I$81</f>
        <v>4202.9840733590736</v>
      </c>
      <c r="AP16" s="9">
        <f t="shared" si="10"/>
        <v>1</v>
      </c>
      <c r="AQ16" s="9">
        <f t="shared" si="11"/>
        <v>1.0826798069266172</v>
      </c>
      <c r="AR16" s="9">
        <f t="shared" si="12"/>
        <v>1.0431882183063161</v>
      </c>
      <c r="AS16" s="9">
        <f t="shared" si="13"/>
        <v>1.0054942200068049</v>
      </c>
      <c r="AT16" s="9">
        <f t="shared" si="14"/>
        <v>1.027175183809202</v>
      </c>
      <c r="AU16" s="9">
        <f t="shared" si="15"/>
        <v>1.000652528548124</v>
      </c>
      <c r="AV16" s="9">
        <f t="shared" si="16"/>
        <v>1</v>
      </c>
    </row>
    <row r="17" spans="1:48" ht="15.75">
      <c r="A17">
        <f t="shared" si="17"/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20" t="s">
        <v>87</v>
      </c>
      <c r="G17" s="7" t="s">
        <v>8</v>
      </c>
      <c r="H17" s="7" t="s">
        <v>9</v>
      </c>
      <c r="I17" s="9" t="s">
        <v>45</v>
      </c>
      <c r="J17" s="9">
        <v>500</v>
      </c>
      <c r="K17" s="9">
        <v>0.8</v>
      </c>
      <c r="L17" s="28">
        <f>'[66]Arc Results'!$I$10960+'[66]Arc Results'!$I$10971+'[66]Arc Results'!$I$10982+'[66]Arc Results'!$I$10993+'[66]Arc Results'!$I$11004+'[66]Arc Results'!$I$11015+'[66]Arc Results'!$I$11026+'[66]Arc Results'!$I$11037+'[66]Arc Results'!$I$11048+'[66]Arc Results'!$I$11059+'[66]Arc Results'!$I$11070+'[66]Arc Results'!$I$11081+'[66]Arc Results'!$I$11092+'[66]Arc Results'!$I$11103+'[66]Arc Results'!$I$11114+'[66]Arc Results'!$I$11125+'[66]Arc Results'!$I$11136+'[66]Arc Results'!$I$11147+'[66]Arc Results'!$I$11158+'[66]Arc Results'!$I$11169+'[66]Arc Results'!$I$11180+'[66]Arc Results'!$I$11191+'[66]Arc Results'!$I$11202+'[66]Arc Results'!$I$11213+'[66]Arc Results'!$I$11224+'[66]Arc Results'!$I$11235+'[66]Arc Results'!$I$11246+'[66]Arc Results'!$I$11257+'[66]Arc Results'!$I$11268</f>
        <v>4073.6126928862304</v>
      </c>
      <c r="M17" s="28">
        <f>'[66]Arc Results'!$I$257</f>
        <v>6165.6637714285662</v>
      </c>
      <c r="N17" s="28">
        <f t="shared" si="1"/>
        <v>5711.4864864864867</v>
      </c>
      <c r="O17" s="28">
        <f t="shared" si="2"/>
        <v>9948.7349835425994</v>
      </c>
      <c r="P17" s="28">
        <f t="shared" si="3"/>
        <v>7534.1293436293436</v>
      </c>
      <c r="Q17" s="28">
        <f t="shared" si="4"/>
        <v>2247.864864864865</v>
      </c>
      <c r="R17" s="28">
        <f t="shared" si="5"/>
        <v>374.00000000000028</v>
      </c>
      <c r="S17" s="28">
        <f t="shared" si="6"/>
        <v>518.18918918918916</v>
      </c>
      <c r="T17" s="28">
        <f t="shared" si="7"/>
        <v>6130</v>
      </c>
      <c r="U17" s="38" t="str">
        <f>[66]Log!$K$2</f>
        <v>329.247.499,53</v>
      </c>
      <c r="V17" s="38" t="str">
        <f>[66]Log!$J$2</f>
        <v>47.021.289,99</v>
      </c>
      <c r="W17" s="38" t="str">
        <f>[66]Log!$N$2</f>
        <v>71.928.700,54</v>
      </c>
      <c r="X17" s="32">
        <f t="shared" si="8"/>
        <v>0</v>
      </c>
      <c r="Y17" s="28"/>
      <c r="Z17" s="33">
        <f t="shared" si="9"/>
        <v>38630.068639141056</v>
      </c>
      <c r="AA17" s="28">
        <f>'[66]Arc Results'!$I$15</f>
        <v>254.18918918918914</v>
      </c>
      <c r="AB17" s="28">
        <f>'[66]Arc Results'!$I$26</f>
        <v>264</v>
      </c>
      <c r="AC17" s="28">
        <f>'[66]Arc Results'!$I$48</f>
        <v>1003.2277992277992</v>
      </c>
      <c r="AD17" s="28">
        <f>'[66]Arc Results'!$I$59</f>
        <v>1244.6370656370657</v>
      </c>
      <c r="AE17" s="28">
        <f>'[66]Arc Results'!$I$114</f>
        <v>187</v>
      </c>
      <c r="AF17" s="28">
        <f>'[66]Arc Results'!$I$125</f>
        <v>187.00000000000028</v>
      </c>
      <c r="AG17" s="28">
        <f>'[66]Arc Results'!$I$147</f>
        <v>2839.9227799227801</v>
      </c>
      <c r="AH17" s="28">
        <f>'[66]Arc Results'!$I$158</f>
        <v>2871.5637065637065</v>
      </c>
      <c r="AI17" s="28">
        <f>'[66]Arc Results'!$I$213</f>
        <v>4817.9241727317885</v>
      </c>
      <c r="AJ17" s="28">
        <f>'[66]Arc Results'!$I$224</f>
        <v>5130.8108108108108</v>
      </c>
      <c r="AK17" s="28">
        <f>'[66]Arc Results'!$I$180</f>
        <v>3063</v>
      </c>
      <c r="AL17" s="28">
        <f>'[66]Arc Results'!$I$191</f>
        <v>3067</v>
      </c>
      <c r="AM17" s="28">
        <f>'[66]Arc Results'!$I$81</f>
        <v>3767.0646718146718</v>
      </c>
      <c r="AN17" s="28">
        <f>'[66]Arc Results'!$I$81</f>
        <v>3767.0646718146718</v>
      </c>
      <c r="AP17" s="9">
        <f t="shared" si="10"/>
        <v>1.0189328743545611</v>
      </c>
      <c r="AQ17" s="9">
        <f t="shared" si="11"/>
        <v>1.1073949195890738</v>
      </c>
      <c r="AR17" s="9">
        <f t="shared" si="12"/>
        <v>1.0000000000000007</v>
      </c>
      <c r="AS17" s="9">
        <f t="shared" si="13"/>
        <v>1.0055398759527472</v>
      </c>
      <c r="AT17" s="9">
        <f t="shared" si="14"/>
        <v>1.0314498917296124</v>
      </c>
      <c r="AU17" s="9">
        <f t="shared" si="15"/>
        <v>1.000652528548124</v>
      </c>
      <c r="AV17" s="9">
        <f t="shared" si="16"/>
        <v>1</v>
      </c>
    </row>
    <row r="18" spans="1:48" ht="15.75">
      <c r="A18">
        <f t="shared" si="17"/>
        <v>14</v>
      </c>
      <c r="B18" s="9">
        <v>2020</v>
      </c>
      <c r="C18" s="9" t="s">
        <v>4</v>
      </c>
      <c r="D18" s="9" t="s">
        <v>88</v>
      </c>
      <c r="E18" s="7" t="s">
        <v>6</v>
      </c>
      <c r="F18" s="20" t="s">
        <v>7</v>
      </c>
      <c r="G18" s="7" t="s">
        <v>8</v>
      </c>
      <c r="H18" s="7" t="s">
        <v>9</v>
      </c>
      <c r="I18" s="9" t="s">
        <v>45</v>
      </c>
      <c r="J18" s="9">
        <v>500</v>
      </c>
      <c r="K18" s="9">
        <v>0.8</v>
      </c>
      <c r="L18" s="28">
        <f>'[67]Arc Results'!$I$10960+'[67]Arc Results'!$I$10971+'[67]Arc Results'!$I$10982+'[67]Arc Results'!$I$10993+'[67]Arc Results'!$I$11004+'[67]Arc Results'!$I$11015+'[67]Arc Results'!$I$11026+'[67]Arc Results'!$I$11037+'[67]Arc Results'!$I$11048+'[67]Arc Results'!$I$11059+'[67]Arc Results'!$I$11070+'[67]Arc Results'!$I$11081+'[67]Arc Results'!$I$11092+'[67]Arc Results'!$I$11103+'[67]Arc Results'!$I$11114+'[67]Arc Results'!$I$11125+'[67]Arc Results'!$I$11136+'[67]Arc Results'!$I$11147+'[67]Arc Results'!$I$11158+'[67]Arc Results'!$I$11169+'[67]Arc Results'!$I$11180+'[67]Arc Results'!$I$11191+'[67]Arc Results'!$I$11202+'[67]Arc Results'!$I$11213+'[67]Arc Results'!$I$11224+'[67]Arc Results'!$I$11235+'[67]Arc Results'!$I$11246+'[67]Arc Results'!$I$11257+'[67]Arc Results'!$I$11268</f>
        <v>3273.6919528700901</v>
      </c>
      <c r="M18" s="28">
        <f>'[67]Arc Results'!$I$257</f>
        <v>14299.710171428582</v>
      </c>
      <c r="N18" s="28">
        <f t="shared" si="1"/>
        <v>5588.9783317220517</v>
      </c>
      <c r="O18" s="28">
        <f t="shared" si="2"/>
        <v>8884.8338368580062</v>
      </c>
      <c r="P18" s="28">
        <f t="shared" si="3"/>
        <v>5537.5921450151054</v>
      </c>
      <c r="Q18" s="28">
        <f t="shared" si="4"/>
        <v>1313.5891238670695</v>
      </c>
      <c r="R18" s="28">
        <f t="shared" si="5"/>
        <v>453.87915407854985</v>
      </c>
      <c r="S18" s="28">
        <f t="shared" si="6"/>
        <v>289.30513595166161</v>
      </c>
      <c r="T18" s="28">
        <f t="shared" si="7"/>
        <v>6130</v>
      </c>
      <c r="U18" s="38" t="str">
        <f>[67]Log!$K$2</f>
        <v>340.612.833,09</v>
      </c>
      <c r="V18" s="38" t="str">
        <f>[67]Log!$J$2</f>
        <v>89.447.971,23</v>
      </c>
      <c r="W18" s="38" t="str">
        <f>[67]Log!$N$2</f>
        <v>35.475.755,55</v>
      </c>
      <c r="X18" s="32">
        <f t="shared" si="8"/>
        <v>0</v>
      </c>
      <c r="Y18" s="28"/>
      <c r="Z18" s="33">
        <f t="shared" si="9"/>
        <v>42497.887898921028</v>
      </c>
      <c r="AA18" s="28">
        <f>'[67]Arc Results'!$I$15</f>
        <v>108.48942598187311</v>
      </c>
      <c r="AB18" s="28">
        <f>'[67]Arc Results'!$I$26</f>
        <v>180.81570996978851</v>
      </c>
      <c r="AC18" s="28">
        <f>'[67]Arc Results'!$I$48</f>
        <v>562.34592145015108</v>
      </c>
      <c r="AD18" s="28">
        <f>'[67]Arc Results'!$I$59</f>
        <v>751.24320241691839</v>
      </c>
      <c r="AE18" s="28">
        <f>'[67]Arc Results'!$I$114</f>
        <v>216.95468277945619</v>
      </c>
      <c r="AF18" s="28">
        <f>'[67]Arc Results'!$I$125</f>
        <v>236.92447129909365</v>
      </c>
      <c r="AG18" s="28">
        <f>'[67]Arc Results'!$I$147</f>
        <v>2782.0825613293027</v>
      </c>
      <c r="AH18" s="28">
        <f>'[67]Arc Results'!$I$158</f>
        <v>2806.8957703927495</v>
      </c>
      <c r="AI18" s="28">
        <f>'[67]Arc Results'!$I$213</f>
        <v>4331.8126888217521</v>
      </c>
      <c r="AJ18" s="28">
        <f>'[67]Arc Results'!$I$224</f>
        <v>4553.0211480362541</v>
      </c>
      <c r="AK18" s="28">
        <f>'[67]Arc Results'!$I$180</f>
        <v>3063</v>
      </c>
      <c r="AL18" s="28">
        <f>'[67]Arc Results'!$I$191</f>
        <v>3067</v>
      </c>
      <c r="AM18" s="28">
        <f>'[67]Arc Results'!$I$81</f>
        <v>2768.7960725075527</v>
      </c>
      <c r="AN18" s="28">
        <f>'[67]Arc Results'!$I$81</f>
        <v>2768.7960725075527</v>
      </c>
      <c r="AP18" s="9">
        <f t="shared" si="10"/>
        <v>1.25</v>
      </c>
      <c r="AQ18" s="9">
        <f t="shared" si="11"/>
        <v>1.1438024093947075</v>
      </c>
      <c r="AR18" s="9">
        <f t="shared" si="12"/>
        <v>1.0439980297402718</v>
      </c>
      <c r="AS18" s="9">
        <f t="shared" si="13"/>
        <v>1.0044396681451799</v>
      </c>
      <c r="AT18" s="9">
        <f t="shared" si="14"/>
        <v>1.0248973096488128</v>
      </c>
      <c r="AU18" s="9">
        <f t="shared" si="15"/>
        <v>1.000652528548124</v>
      </c>
      <c r="AV18" s="9">
        <f t="shared" si="16"/>
        <v>1</v>
      </c>
    </row>
    <row r="19" spans="1:48" ht="15.75">
      <c r="A19">
        <f t="shared" si="17"/>
        <v>15</v>
      </c>
      <c r="B19" s="9">
        <v>2020</v>
      </c>
      <c r="C19" s="9" t="s">
        <v>4</v>
      </c>
      <c r="D19" s="9" t="s">
        <v>88</v>
      </c>
      <c r="E19" s="7" t="s">
        <v>6</v>
      </c>
      <c r="F19" s="20" t="s">
        <v>76</v>
      </c>
      <c r="G19" s="7" t="s">
        <v>8</v>
      </c>
      <c r="H19" s="7" t="s">
        <v>9</v>
      </c>
      <c r="I19" s="9" t="s">
        <v>45</v>
      </c>
      <c r="J19" s="9">
        <v>500</v>
      </c>
      <c r="K19" s="9">
        <v>0.8</v>
      </c>
      <c r="L19" s="28">
        <f>'[68]Arc Results'!$I$10960+'[68]Arc Results'!$I$10971+'[68]Arc Results'!$I$10982+'[68]Arc Results'!$I$10993+'[68]Arc Results'!$I$11004+'[68]Arc Results'!$I$11015+'[68]Arc Results'!$I$11026+'[68]Arc Results'!$I$11037+'[68]Arc Results'!$I$11048+'[68]Arc Results'!$I$11059+'[68]Arc Results'!$I$11070+'[68]Arc Results'!$I$11081+'[68]Arc Results'!$I$11092+'[68]Arc Results'!$I$11103+'[68]Arc Results'!$I$11114+'[68]Arc Results'!$I$11125+'[68]Arc Results'!$I$11136+'[68]Arc Results'!$I$11147+'[68]Arc Results'!$I$11158+'[68]Arc Results'!$I$11169+'[68]Arc Results'!$I$11180+'[68]Arc Results'!$I$11191+'[68]Arc Results'!$I$11202+'[68]Arc Results'!$I$11213+'[68]Arc Results'!$I$11224+'[68]Arc Results'!$I$11235+'[68]Arc Results'!$I$11246+'[68]Arc Results'!$I$11257+'[68]Arc Results'!$I$11268</f>
        <v>3072.4157066465286</v>
      </c>
      <c r="M19" s="28">
        <f>'[68]Arc Results'!$I$257</f>
        <v>14299.710171428578</v>
      </c>
      <c r="N19" s="28">
        <f t="shared" si="1"/>
        <v>6123.9999999999982</v>
      </c>
      <c r="O19" s="28">
        <f t="shared" si="2"/>
        <v>8722.7993287009067</v>
      </c>
      <c r="P19" s="28">
        <f t="shared" si="3"/>
        <v>5310.1941087613295</v>
      </c>
      <c r="Q19" s="28">
        <f t="shared" si="4"/>
        <v>1219.1404833836857</v>
      </c>
      <c r="R19" s="28">
        <f t="shared" si="5"/>
        <v>438.90181268882174</v>
      </c>
      <c r="S19" s="28">
        <f t="shared" si="6"/>
        <v>253.1419939577039</v>
      </c>
      <c r="T19" s="28">
        <f t="shared" si="7"/>
        <v>6130</v>
      </c>
      <c r="U19" s="38" t="str">
        <f>[68]Log!$K$2</f>
        <v>323.068.495,68</v>
      </c>
      <c r="V19" s="38" t="str">
        <f>[68]Log!$J$2</f>
        <v>89.447.971,23</v>
      </c>
      <c r="W19" s="38" t="str">
        <f>[68]Log!$N$2</f>
        <v>35.475.755,55</v>
      </c>
      <c r="X19" s="32">
        <f t="shared" si="8"/>
        <v>0</v>
      </c>
      <c r="Y19" s="28"/>
      <c r="Z19" s="33">
        <f t="shared" si="9"/>
        <v>42497.887898921021</v>
      </c>
      <c r="AA19" s="28">
        <f>'[68]Arc Results'!$I$15</f>
        <v>90.407854984894257</v>
      </c>
      <c r="AB19" s="28">
        <f>'[68]Arc Results'!$I$26</f>
        <v>162.73413897280966</v>
      </c>
      <c r="AC19" s="28">
        <f>'[68]Arc Results'!$I$48</f>
        <v>515.1216012084592</v>
      </c>
      <c r="AD19" s="28">
        <f>'[68]Arc Results'!$I$59</f>
        <v>704.01888217522651</v>
      </c>
      <c r="AE19" s="28">
        <f>'[68]Arc Results'!$I$114</f>
        <v>206.96978851963746</v>
      </c>
      <c r="AF19" s="28">
        <f>'[68]Arc Results'!$I$125</f>
        <v>231.93202416918427</v>
      </c>
      <c r="AG19" s="28">
        <f>'[68]Arc Results'!$I$147</f>
        <v>2876.5285120845924</v>
      </c>
      <c r="AH19" s="28">
        <f>'[68]Arc Results'!$I$158</f>
        <v>3247.4714879154053</v>
      </c>
      <c r="AI19" s="28">
        <f>'[68]Arc Results'!$I$213</f>
        <v>4225.0802954682786</v>
      </c>
      <c r="AJ19" s="28">
        <f>'[68]Arc Results'!$I$224</f>
        <v>4497.7190332326281</v>
      </c>
      <c r="AK19" s="28">
        <f>'[68]Arc Results'!$I$180</f>
        <v>3063</v>
      </c>
      <c r="AL19" s="28">
        <f>'[68]Arc Results'!$I$191</f>
        <v>3067</v>
      </c>
      <c r="AM19" s="28">
        <f>'[68]Arc Results'!$I$81</f>
        <v>2655.0970543806648</v>
      </c>
      <c r="AN19" s="28">
        <f>'[68]Arc Results'!$I$81</f>
        <v>2655.0970543806648</v>
      </c>
      <c r="AP19" s="9">
        <f t="shared" si="10"/>
        <v>1.2857142857142858</v>
      </c>
      <c r="AQ19" s="9">
        <f t="shared" si="11"/>
        <v>1.1549429975801384</v>
      </c>
      <c r="AR19" s="9">
        <f t="shared" si="12"/>
        <v>1.056874305204214</v>
      </c>
      <c r="AS19" s="9">
        <f t="shared" si="13"/>
        <v>1.0605720078103875</v>
      </c>
      <c r="AT19" s="9">
        <f t="shared" si="14"/>
        <v>1.031255876409684</v>
      </c>
      <c r="AU19" s="9">
        <f t="shared" si="15"/>
        <v>1.000652528548124</v>
      </c>
      <c r="AV19" s="9">
        <f t="shared" si="16"/>
        <v>1</v>
      </c>
    </row>
    <row r="20" spans="1:48" ht="15.75">
      <c r="A20">
        <f t="shared" si="17"/>
        <v>16</v>
      </c>
      <c r="B20" s="9">
        <v>2020</v>
      </c>
      <c r="C20" s="9" t="s">
        <v>4</v>
      </c>
      <c r="D20" s="9" t="s">
        <v>88</v>
      </c>
      <c r="E20" s="7" t="s">
        <v>6</v>
      </c>
      <c r="F20" s="20" t="s">
        <v>77</v>
      </c>
      <c r="G20" s="7" t="s">
        <v>8</v>
      </c>
      <c r="H20" s="7" t="s">
        <v>9</v>
      </c>
      <c r="I20" s="9" t="s">
        <v>45</v>
      </c>
      <c r="J20" s="9">
        <v>500</v>
      </c>
      <c r="K20" s="9">
        <v>0.8</v>
      </c>
      <c r="L20" s="28">
        <f>'[69]Arc Results'!$I$10960+'[69]Arc Results'!$I$10971+'[69]Arc Results'!$I$10982+'[69]Arc Results'!$I$10993+'[69]Arc Results'!$I$11004+'[69]Arc Results'!$I$11015+'[69]Arc Results'!$I$11026+'[69]Arc Results'!$I$11037+'[69]Arc Results'!$I$11048+'[69]Arc Results'!$I$11059+'[69]Arc Results'!$I$11070+'[69]Arc Results'!$I$11081+'[69]Arc Results'!$I$11092+'[69]Arc Results'!$I$11103+'[69]Arc Results'!$I$11114+'[69]Arc Results'!$I$11125+'[69]Arc Results'!$I$11136+'[69]Arc Results'!$I$11147+'[69]Arc Results'!$I$11158+'[69]Arc Results'!$I$11169+'[69]Arc Results'!$I$11180+'[69]Arc Results'!$I$11191+'[69]Arc Results'!$I$11202+'[69]Arc Results'!$I$11213+'[69]Arc Results'!$I$11224+'[69]Arc Results'!$I$11235+'[69]Arc Results'!$I$11246+'[69]Arc Results'!$I$11257+'[69]Arc Results'!$I$11268</f>
        <v>3203.3805395770428</v>
      </c>
      <c r="M20" s="28">
        <f>'[69]Arc Results'!$I$257</f>
        <v>14299.710171428573</v>
      </c>
      <c r="N20" s="28">
        <f t="shared" si="1"/>
        <v>5490</v>
      </c>
      <c r="O20" s="28">
        <f t="shared" si="2"/>
        <v>11476.97379999998</v>
      </c>
      <c r="P20" s="28">
        <f t="shared" si="3"/>
        <v>4628</v>
      </c>
      <c r="Q20" s="28">
        <f t="shared" si="4"/>
        <v>558</v>
      </c>
      <c r="R20" s="28">
        <f t="shared" si="5"/>
        <v>374</v>
      </c>
      <c r="S20" s="28">
        <f t="shared" si="6"/>
        <v>0</v>
      </c>
      <c r="T20" s="28">
        <f t="shared" si="7"/>
        <v>6126</v>
      </c>
      <c r="U20" s="38" t="str">
        <f>[69]Log!$K$2</f>
        <v>309.952.573,50</v>
      </c>
      <c r="V20" s="38" t="str">
        <f>[69]Log!$J$2</f>
        <v>89.447.971,23</v>
      </c>
      <c r="W20" s="38" t="str">
        <f>[69]Log!$N$2</f>
        <v>35.475.755,55</v>
      </c>
      <c r="X20" s="32">
        <f t="shared" si="8"/>
        <v>0</v>
      </c>
      <c r="Y20" s="28"/>
      <c r="Z20" s="33">
        <f t="shared" si="9"/>
        <v>42952.683971428552</v>
      </c>
      <c r="AA20" s="28">
        <f>'[69]Arc Results'!$I$15</f>
        <v>0</v>
      </c>
      <c r="AB20" s="28">
        <f>'[69]Arc Results'!$I$26</f>
        <v>0</v>
      </c>
      <c r="AC20" s="28">
        <f>'[69]Arc Results'!$I$48</f>
        <v>279</v>
      </c>
      <c r="AD20" s="28">
        <f>'[69]Arc Results'!$I$59</f>
        <v>279</v>
      </c>
      <c r="AE20" s="28">
        <f>'[69]Arc Results'!$I$114</f>
        <v>187</v>
      </c>
      <c r="AF20" s="28">
        <f>'[69]Arc Results'!$I$125</f>
        <v>187</v>
      </c>
      <c r="AG20" s="28">
        <f>'[69]Arc Results'!$I$147</f>
        <v>2745</v>
      </c>
      <c r="AH20" s="28">
        <f>'[69]Arc Results'!$I$158</f>
        <v>2745</v>
      </c>
      <c r="AI20" s="28">
        <f>'[69]Arc Results'!$I$213</f>
        <v>5175.1699395770393</v>
      </c>
      <c r="AJ20" s="28">
        <f>'[69]Arc Results'!$I$224</f>
        <v>6301.8038604229405</v>
      </c>
      <c r="AK20" s="28">
        <f>'[69]Arc Results'!$I$180</f>
        <v>3063</v>
      </c>
      <c r="AL20" s="28">
        <f>'[69]Arc Results'!$I$191</f>
        <v>3063.0000000000005</v>
      </c>
      <c r="AM20" s="28">
        <f>'[69]Arc Results'!$I$81</f>
        <v>2314</v>
      </c>
      <c r="AN20" s="28">
        <f>'[69]Arc Results'!$I$81</f>
        <v>2314</v>
      </c>
      <c r="AP20" s="9" t="e">
        <f t="shared" si="10"/>
        <v>#DIV/0!</v>
      </c>
      <c r="AQ20" s="9">
        <f t="shared" si="11"/>
        <v>1</v>
      </c>
      <c r="AR20" s="9">
        <f t="shared" si="12"/>
        <v>1</v>
      </c>
      <c r="AS20" s="9">
        <f t="shared" si="13"/>
        <v>1</v>
      </c>
      <c r="AT20" s="9">
        <f t="shared" si="14"/>
        <v>1.0981647201151494</v>
      </c>
      <c r="AU20" s="9">
        <f t="shared" si="15"/>
        <v>1.0000000000000002</v>
      </c>
      <c r="AV20" s="9">
        <f t="shared" si="16"/>
        <v>1</v>
      </c>
    </row>
    <row r="21" spans="1:48" ht="15.75">
      <c r="A21">
        <f t="shared" si="17"/>
        <v>17</v>
      </c>
      <c r="B21" s="9">
        <v>2020</v>
      </c>
      <c r="C21" s="9" t="s">
        <v>4</v>
      </c>
      <c r="D21" s="9" t="s">
        <v>88</v>
      </c>
      <c r="E21" s="7" t="s">
        <v>6</v>
      </c>
      <c r="F21" s="20" t="s">
        <v>78</v>
      </c>
      <c r="G21" s="7" t="s">
        <v>8</v>
      </c>
      <c r="H21" s="7" t="s">
        <v>9</v>
      </c>
      <c r="I21" s="9" t="s">
        <v>45</v>
      </c>
      <c r="J21" s="9">
        <v>500</v>
      </c>
      <c r="K21" s="9">
        <v>0.8</v>
      </c>
      <c r="L21" s="28">
        <f>'[70]Arc Results'!$I$10960+'[70]Arc Results'!$I$10971+'[70]Arc Results'!$I$10982+'[70]Arc Results'!$I$10993+'[70]Arc Results'!$I$11004+'[70]Arc Results'!$I$11015+'[70]Arc Results'!$I$11026+'[70]Arc Results'!$I$11037+'[70]Arc Results'!$I$11048+'[70]Arc Results'!$I$11059+'[70]Arc Results'!$I$11070+'[70]Arc Results'!$I$11081+'[70]Arc Results'!$I$11092+'[70]Arc Results'!$I$11103+'[70]Arc Results'!$I$11114+'[70]Arc Results'!$I$11125+'[70]Arc Results'!$I$11136+'[70]Arc Results'!$I$11147+'[70]Arc Results'!$I$11158+'[70]Arc Results'!$I$11169+'[70]Arc Results'!$I$11180+'[70]Arc Results'!$I$11191+'[70]Arc Results'!$I$11202+'[70]Arc Results'!$I$11213+'[70]Arc Results'!$I$11224+'[70]Arc Results'!$I$11235+'[70]Arc Results'!$I$11246+'[70]Arc Results'!$I$11257+'[70]Arc Results'!$I$11268</f>
        <v>3449.4483265861068</v>
      </c>
      <c r="M21" s="28">
        <f>'[70]Arc Results'!$I$257</f>
        <v>14299.710171428575</v>
      </c>
      <c r="N21" s="28">
        <f t="shared" si="1"/>
        <v>5490</v>
      </c>
      <c r="O21" s="28">
        <f t="shared" si="2"/>
        <v>8000.0000000000036</v>
      </c>
      <c r="P21" s="28">
        <f t="shared" si="3"/>
        <v>7470.4754531722056</v>
      </c>
      <c r="Q21" s="28">
        <f t="shared" si="4"/>
        <v>558</v>
      </c>
      <c r="R21" s="28">
        <f t="shared" si="5"/>
        <v>374.00000000000023</v>
      </c>
      <c r="S21" s="28">
        <f t="shared" si="6"/>
        <v>0</v>
      </c>
      <c r="T21" s="28">
        <f t="shared" si="7"/>
        <v>6126</v>
      </c>
      <c r="U21" s="38" t="str">
        <f>[70]Log!$K$2</f>
        <v>318.116.350,41</v>
      </c>
      <c r="V21" s="38" t="str">
        <f>[70]Log!$J$2</f>
        <v>89.447.971,23</v>
      </c>
      <c r="W21" s="38" t="str">
        <f>[70]Log!$N$2</f>
        <v>35.475.755,55</v>
      </c>
      <c r="X21" s="32">
        <f t="shared" si="8"/>
        <v>0</v>
      </c>
      <c r="Y21" s="28"/>
      <c r="Z21" s="33">
        <f t="shared" si="9"/>
        <v>42318.185624600781</v>
      </c>
      <c r="AA21" s="28">
        <f>'[70]Arc Results'!$I$15</f>
        <v>0</v>
      </c>
      <c r="AB21" s="28">
        <f>'[70]Arc Results'!$I$26</f>
        <v>0</v>
      </c>
      <c r="AC21" s="28">
        <f>'[70]Arc Results'!$I$48</f>
        <v>279</v>
      </c>
      <c r="AD21" s="28">
        <f>'[70]Arc Results'!$I$59</f>
        <v>279</v>
      </c>
      <c r="AE21" s="28">
        <f>'[70]Arc Results'!$I$114</f>
        <v>187</v>
      </c>
      <c r="AF21" s="28">
        <f>'[70]Arc Results'!$I$125</f>
        <v>187.00000000000023</v>
      </c>
      <c r="AG21" s="28">
        <f>'[70]Arc Results'!$I$147</f>
        <v>2745</v>
      </c>
      <c r="AH21" s="28">
        <f>'[70]Arc Results'!$I$158</f>
        <v>2745</v>
      </c>
      <c r="AI21" s="28">
        <f>'[70]Arc Results'!$I$213</f>
        <v>4000</v>
      </c>
      <c r="AJ21" s="28">
        <f>'[70]Arc Results'!$I$224</f>
        <v>4000.0000000000036</v>
      </c>
      <c r="AK21" s="28">
        <f>'[70]Arc Results'!$I$180</f>
        <v>3063</v>
      </c>
      <c r="AL21" s="28">
        <f>'[70]Arc Results'!$I$191</f>
        <v>3063.0000000000005</v>
      </c>
      <c r="AM21" s="28">
        <f>'[70]Arc Results'!$I$81</f>
        <v>3735.2377265861028</v>
      </c>
      <c r="AN21" s="28">
        <f>'[70]Arc Results'!$I$81</f>
        <v>3735.2377265861028</v>
      </c>
      <c r="AP21" s="9" t="e">
        <f t="shared" si="10"/>
        <v>#DIV/0!</v>
      </c>
      <c r="AQ21" s="9">
        <f t="shared" si="11"/>
        <v>1</v>
      </c>
      <c r="AR21" s="9">
        <f t="shared" si="12"/>
        <v>1.0000000000000007</v>
      </c>
      <c r="AS21" s="9">
        <f t="shared" si="13"/>
        <v>1</v>
      </c>
      <c r="AT21" s="9">
        <f t="shared" si="14"/>
        <v>1.0000000000000004</v>
      </c>
      <c r="AU21" s="9">
        <f t="shared" si="15"/>
        <v>1.0000000000000002</v>
      </c>
      <c r="AV21" s="9">
        <f t="shared" si="16"/>
        <v>1</v>
      </c>
    </row>
    <row r="22" spans="1:48" ht="15.75">
      <c r="A22">
        <f t="shared" si="17"/>
        <v>18</v>
      </c>
      <c r="B22" s="9">
        <v>2020</v>
      </c>
      <c r="C22" s="9" t="s">
        <v>4</v>
      </c>
      <c r="D22" s="9" t="s">
        <v>88</v>
      </c>
      <c r="E22" s="7" t="s">
        <v>6</v>
      </c>
      <c r="F22" s="20" t="s">
        <v>79</v>
      </c>
      <c r="G22" s="7" t="s">
        <v>8</v>
      </c>
      <c r="H22" s="7" t="s">
        <v>9</v>
      </c>
      <c r="I22" s="9" t="s">
        <v>45</v>
      </c>
      <c r="J22" s="9">
        <v>500</v>
      </c>
      <c r="K22" s="9">
        <v>0.8</v>
      </c>
      <c r="L22" s="28">
        <f>'[71]Arc Results'!$I$10960+'[71]Arc Results'!$I$10971+'[71]Arc Results'!$I$10982+'[71]Arc Results'!$I$10993+'[71]Arc Results'!$I$11004+'[71]Arc Results'!$I$11015+'[71]Arc Results'!$I$11026+'[71]Arc Results'!$I$11037+'[71]Arc Results'!$I$11048+'[71]Arc Results'!$I$11059+'[71]Arc Results'!$I$11070+'[71]Arc Results'!$I$11081+'[71]Arc Results'!$I$11092+'[71]Arc Results'!$I$11103+'[71]Arc Results'!$I$11114+'[71]Arc Results'!$I$11125+'[71]Arc Results'!$I$11136+'[71]Arc Results'!$I$11147+'[71]Arc Results'!$I$11158+'[71]Arc Results'!$I$11169+'[71]Arc Results'!$I$11180+'[71]Arc Results'!$I$11191+'[71]Arc Results'!$I$11202+'[71]Arc Results'!$I$11213+'[71]Arc Results'!$I$11224+'[71]Arc Results'!$I$11235+'[71]Arc Results'!$I$11246+'[71]Arc Results'!$I$11257+'[71]Arc Results'!$I$11268</f>
        <v>3201.849950453176</v>
      </c>
      <c r="M22" s="28">
        <f>'[71]Arc Results'!$I$257</f>
        <v>14299.710171428584</v>
      </c>
      <c r="N22" s="28">
        <f t="shared" si="1"/>
        <v>5576.6540785498491</v>
      </c>
      <c r="O22" s="28">
        <f t="shared" si="2"/>
        <v>8829.3714586102687</v>
      </c>
      <c r="P22" s="28">
        <f t="shared" si="3"/>
        <v>5310.1941087613295</v>
      </c>
      <c r="Q22" s="28">
        <f t="shared" si="4"/>
        <v>1266.3648036253776</v>
      </c>
      <c r="R22" s="28">
        <f t="shared" si="5"/>
        <v>443.89425981873109</v>
      </c>
      <c r="S22" s="28">
        <f t="shared" si="6"/>
        <v>528</v>
      </c>
      <c r="T22" s="28">
        <f t="shared" si="7"/>
        <v>6130</v>
      </c>
      <c r="U22" s="38" t="str">
        <f>[71]Log!$K$2</f>
        <v>339.102.521,42</v>
      </c>
      <c r="V22" s="38" t="str">
        <f>[71]Log!$J$2</f>
        <v>89.447.971,23</v>
      </c>
      <c r="W22" s="38" t="str">
        <f>[71]Log!$N$2</f>
        <v>35.475.755,55</v>
      </c>
      <c r="X22" s="32">
        <f t="shared" si="8"/>
        <v>0</v>
      </c>
      <c r="Y22" s="28"/>
      <c r="Z22" s="33">
        <f t="shared" si="9"/>
        <v>42384.188880794136</v>
      </c>
      <c r="AA22" s="28">
        <f>'[71]Arc Results'!$I$15</f>
        <v>264</v>
      </c>
      <c r="AB22" s="28">
        <f>'[71]Arc Results'!$I$26</f>
        <v>264</v>
      </c>
      <c r="AC22" s="28">
        <f>'[71]Arc Results'!$I$48</f>
        <v>515.1216012084592</v>
      </c>
      <c r="AD22" s="28">
        <f>'[71]Arc Results'!$I$59</f>
        <v>751.24320241691839</v>
      </c>
      <c r="AE22" s="28">
        <f>'[71]Arc Results'!$I$114</f>
        <v>211.96223564954681</v>
      </c>
      <c r="AF22" s="28">
        <f>'[71]Arc Results'!$I$125</f>
        <v>231.93202416918427</v>
      </c>
      <c r="AG22" s="28">
        <f>'[71]Arc Results'!$I$147</f>
        <v>2775.9478851963745</v>
      </c>
      <c r="AH22" s="28">
        <f>'[71]Arc Results'!$I$158</f>
        <v>2800.7061933534742</v>
      </c>
      <c r="AI22" s="28">
        <f>'[71]Arc Results'!$I$213</f>
        <v>4276.510574018127</v>
      </c>
      <c r="AJ22" s="28">
        <f>'[71]Arc Results'!$I$224</f>
        <v>4552.8608845921417</v>
      </c>
      <c r="AK22" s="28">
        <f>'[71]Arc Results'!$I$180</f>
        <v>3063</v>
      </c>
      <c r="AL22" s="28">
        <f>'[71]Arc Results'!$I$191</f>
        <v>3067</v>
      </c>
      <c r="AM22" s="28">
        <f>'[71]Arc Results'!$I$81</f>
        <v>2655.0970543806648</v>
      </c>
      <c r="AN22" s="28">
        <f>'[71]Arc Results'!$I$81</f>
        <v>2655.0970543806648</v>
      </c>
      <c r="AP22" s="9">
        <f t="shared" si="10"/>
        <v>1</v>
      </c>
      <c r="AQ22" s="9">
        <f t="shared" si="11"/>
        <v>1.1864562253566153</v>
      </c>
      <c r="AR22" s="9">
        <f t="shared" si="12"/>
        <v>1.0449877151549387</v>
      </c>
      <c r="AS22" s="9">
        <f t="shared" si="13"/>
        <v>1.0044396349151958</v>
      </c>
      <c r="AT22" s="9">
        <f t="shared" si="14"/>
        <v>1.0312989788536444</v>
      </c>
      <c r="AU22" s="9">
        <f t="shared" si="15"/>
        <v>1.000652528548124</v>
      </c>
      <c r="AV22" s="9">
        <f t="shared" si="16"/>
        <v>1</v>
      </c>
    </row>
    <row r="23" spans="1:48" ht="15.75">
      <c r="A23">
        <f t="shared" si="17"/>
        <v>19</v>
      </c>
      <c r="B23" s="9">
        <v>2020</v>
      </c>
      <c r="C23" s="9" t="s">
        <v>4</v>
      </c>
      <c r="D23" s="9" t="s">
        <v>88</v>
      </c>
      <c r="E23" s="7" t="s">
        <v>6</v>
      </c>
      <c r="F23" s="20" t="s">
        <v>80</v>
      </c>
      <c r="G23" s="7" t="s">
        <v>8</v>
      </c>
      <c r="H23" s="7" t="s">
        <v>9</v>
      </c>
      <c r="I23" s="9" t="s">
        <v>45</v>
      </c>
      <c r="J23" s="9">
        <v>500</v>
      </c>
      <c r="K23" s="9">
        <v>0.8</v>
      </c>
      <c r="L23" s="28">
        <f>'[72]Arc Results'!$I$10960+'[72]Arc Results'!$I$10971+'[72]Arc Results'!$I$10982+'[72]Arc Results'!$I$10993+'[72]Arc Results'!$I$11004+'[72]Arc Results'!$I$11015+'[72]Arc Results'!$I$11026+'[72]Arc Results'!$I$11037+'[72]Arc Results'!$I$11048+'[72]Arc Results'!$I$11059+'[72]Arc Results'!$I$11070+'[72]Arc Results'!$I$11081+'[72]Arc Results'!$I$11092+'[72]Arc Results'!$I$11103+'[72]Arc Results'!$I$11114+'[72]Arc Results'!$I$11125+'[72]Arc Results'!$I$11136+'[72]Arc Results'!$I$11147+'[72]Arc Results'!$I$11158+'[72]Arc Results'!$I$11169+'[72]Arc Results'!$I$11180+'[72]Arc Results'!$I$11191+'[72]Arc Results'!$I$11202+'[72]Arc Results'!$I$11213+'[72]Arc Results'!$I$11224+'[72]Arc Results'!$I$11235+'[72]Arc Results'!$I$11246+'[72]Arc Results'!$I$11257+'[72]Arc Results'!$I$11268</f>
        <v>3309.3087957703929</v>
      </c>
      <c r="M23" s="28">
        <f>'[72]Arc Results'!$I$257</f>
        <v>14299.710171428571</v>
      </c>
      <c r="N23" s="28">
        <f t="shared" si="1"/>
        <v>5520.947885196374</v>
      </c>
      <c r="O23" s="28">
        <f t="shared" si="2"/>
        <v>8304.4847516616319</v>
      </c>
      <c r="P23" s="28">
        <f t="shared" si="3"/>
        <v>4628</v>
      </c>
      <c r="Q23" s="28">
        <f t="shared" si="4"/>
        <v>3219.9999999999973</v>
      </c>
      <c r="R23" s="28">
        <f t="shared" si="5"/>
        <v>403.95468277945616</v>
      </c>
      <c r="S23" s="28">
        <f t="shared" si="6"/>
        <v>108.48942598187311</v>
      </c>
      <c r="T23" s="28">
        <f t="shared" si="7"/>
        <v>6126</v>
      </c>
      <c r="U23" s="38" t="str">
        <f>[72]Log!$K$2</f>
        <v>333.061.767,19</v>
      </c>
      <c r="V23" s="38" t="str">
        <f>[72]Log!$J$2</f>
        <v>89.447.971,23</v>
      </c>
      <c r="W23" s="38" t="str">
        <f>[72]Log!$N$2</f>
        <v>35.475.755,55</v>
      </c>
      <c r="X23" s="32">
        <f t="shared" si="8"/>
        <v>0</v>
      </c>
      <c r="Y23" s="28"/>
      <c r="Z23" s="33">
        <f t="shared" si="9"/>
        <v>42611.586917047905</v>
      </c>
      <c r="AA23" s="28">
        <f>'[72]Arc Results'!$I$15</f>
        <v>18.081570996978851</v>
      </c>
      <c r="AB23" s="28">
        <f>'[72]Arc Results'!$I$26</f>
        <v>90.407854984894257</v>
      </c>
      <c r="AC23" s="28">
        <f>'[72]Arc Results'!$I$48</f>
        <v>1509.0499999999975</v>
      </c>
      <c r="AD23" s="28">
        <f>'[72]Arc Results'!$I$59</f>
        <v>1710.95</v>
      </c>
      <c r="AE23" s="28">
        <f>'[72]Arc Results'!$I$114</f>
        <v>191.99244712990935</v>
      </c>
      <c r="AF23" s="28">
        <f>'[72]Arc Results'!$I$125</f>
        <v>211.96223564954681</v>
      </c>
      <c r="AG23" s="28">
        <f>'[72]Arc Results'!$I$147</f>
        <v>2745</v>
      </c>
      <c r="AH23" s="28">
        <f>'[72]Arc Results'!$I$158</f>
        <v>2775.9478851963745</v>
      </c>
      <c r="AI23" s="28">
        <f>'[72]Arc Results'!$I$213</f>
        <v>4027.9741776435053</v>
      </c>
      <c r="AJ23" s="28">
        <f>'[72]Arc Results'!$I$224</f>
        <v>4276.510574018127</v>
      </c>
      <c r="AK23" s="28">
        <f>'[72]Arc Results'!$I$180</f>
        <v>3063</v>
      </c>
      <c r="AL23" s="28">
        <f>'[72]Arc Results'!$I$191</f>
        <v>3063</v>
      </c>
      <c r="AM23" s="28">
        <f>'[72]Arc Results'!$I$81</f>
        <v>2314</v>
      </c>
      <c r="AN23" s="28">
        <f>'[72]Arc Results'!$I$81</f>
        <v>2314</v>
      </c>
      <c r="AP23" s="9">
        <f t="shared" si="10"/>
        <v>1.6666666666666665</v>
      </c>
      <c r="AQ23" s="9">
        <f t="shared" si="11"/>
        <v>1.0627018633540382</v>
      </c>
      <c r="AR23" s="9">
        <f t="shared" si="12"/>
        <v>1.0494357148733444</v>
      </c>
      <c r="AS23" s="9">
        <f t="shared" si="13"/>
        <v>1.0056055383676701</v>
      </c>
      <c r="AT23" s="9">
        <f t="shared" si="14"/>
        <v>1.0299279731141529</v>
      </c>
      <c r="AU23" s="9">
        <f t="shared" si="15"/>
        <v>1</v>
      </c>
      <c r="AV23" s="9">
        <f t="shared" si="16"/>
        <v>1</v>
      </c>
    </row>
    <row r="24" spans="1:48" ht="15.75">
      <c r="A24">
        <f t="shared" si="17"/>
        <v>20</v>
      </c>
      <c r="B24" s="9">
        <v>2020</v>
      </c>
      <c r="C24" s="9" t="s">
        <v>4</v>
      </c>
      <c r="D24" s="9" t="s">
        <v>88</v>
      </c>
      <c r="E24" s="7" t="s">
        <v>6</v>
      </c>
      <c r="F24" s="20" t="s">
        <v>81</v>
      </c>
      <c r="G24" s="7" t="s">
        <v>8</v>
      </c>
      <c r="H24" s="7" t="s">
        <v>9</v>
      </c>
      <c r="I24" s="9" t="s">
        <v>45</v>
      </c>
      <c r="J24" s="9">
        <v>500</v>
      </c>
      <c r="K24" s="9">
        <v>0.8</v>
      </c>
      <c r="L24" s="28">
        <f>'[73]Arc Results'!$I$10960+'[73]Arc Results'!$I$10971+'[73]Arc Results'!$I$10982+'[73]Arc Results'!$I$10993+'[73]Arc Results'!$I$11004+'[73]Arc Results'!$I$11015+'[73]Arc Results'!$I$11026+'[73]Arc Results'!$I$11037+'[73]Arc Results'!$I$11048+'[73]Arc Results'!$I$11059+'[73]Arc Results'!$I$11070+'[73]Arc Results'!$I$11081+'[73]Arc Results'!$I$11092+'[73]Arc Results'!$I$11103+'[73]Arc Results'!$I$11114+'[73]Arc Results'!$I$11125+'[73]Arc Results'!$I$11136+'[73]Arc Results'!$I$11147+'[73]Arc Results'!$I$11158+'[73]Arc Results'!$I$11169+'[73]Arc Results'!$I$11180+'[73]Arc Results'!$I$11191+'[73]Arc Results'!$I$11202+'[73]Arc Results'!$I$11213+'[73]Arc Results'!$I$11224+'[73]Arc Results'!$I$11235+'[73]Arc Results'!$I$11246+'[73]Arc Results'!$I$11257+'[73]Arc Results'!$I$11268</f>
        <v>3174.3164241691843</v>
      </c>
      <c r="M24" s="28">
        <f>'[73]Arc Results'!$I$257</f>
        <v>14299.710171428585</v>
      </c>
      <c r="N24" s="28">
        <f t="shared" si="1"/>
        <v>5582.843655589124</v>
      </c>
      <c r="O24" s="28">
        <f t="shared" si="2"/>
        <v>8829.5317220543802</v>
      </c>
      <c r="P24" s="28">
        <f t="shared" si="3"/>
        <v>5354.8358175226558</v>
      </c>
      <c r="Q24" s="28">
        <f t="shared" si="4"/>
        <v>1266.3648036253776</v>
      </c>
      <c r="R24" s="28">
        <f t="shared" si="5"/>
        <v>672.00000000000023</v>
      </c>
      <c r="S24" s="28">
        <f t="shared" si="6"/>
        <v>271.22356495468279</v>
      </c>
      <c r="T24" s="28">
        <f t="shared" si="7"/>
        <v>6130</v>
      </c>
      <c r="U24" s="38" t="str">
        <f>[73]Log!$K$2</f>
        <v>338.855.372,42</v>
      </c>
      <c r="V24" s="38" t="str">
        <f>[73]Log!$J$2</f>
        <v>89.447.971,23</v>
      </c>
      <c r="W24" s="38" t="str">
        <f>[73]Log!$N$2</f>
        <v>35.475.755,55</v>
      </c>
      <c r="X24" s="32">
        <f t="shared" si="8"/>
        <v>0</v>
      </c>
      <c r="Y24" s="28"/>
      <c r="Z24" s="33">
        <f t="shared" si="9"/>
        <v>42406.509735174812</v>
      </c>
      <c r="AA24" s="28">
        <f>'[73]Arc Results'!$I$15</f>
        <v>90.407854984894257</v>
      </c>
      <c r="AB24" s="28">
        <f>'[73]Arc Results'!$I$26</f>
        <v>180.81570996978851</v>
      </c>
      <c r="AC24" s="28">
        <f>'[73]Arc Results'!$I$48</f>
        <v>515.1216012084592</v>
      </c>
      <c r="AD24" s="28">
        <f>'[73]Arc Results'!$I$59</f>
        <v>751.24320241691839</v>
      </c>
      <c r="AE24" s="28">
        <f>'[73]Arc Results'!$I$114</f>
        <v>335.70000000000016</v>
      </c>
      <c r="AF24" s="28">
        <f>'[73]Arc Results'!$I$125</f>
        <v>336.3</v>
      </c>
      <c r="AG24" s="28">
        <f>'[73]Arc Results'!$I$147</f>
        <v>2775.9478851963745</v>
      </c>
      <c r="AH24" s="28">
        <f>'[73]Arc Results'!$I$158</f>
        <v>2806.8957703927495</v>
      </c>
      <c r="AI24" s="28">
        <f>'[73]Arc Results'!$I$213</f>
        <v>4276.510574018127</v>
      </c>
      <c r="AJ24" s="28">
        <f>'[73]Arc Results'!$I$224</f>
        <v>4553.0211480362541</v>
      </c>
      <c r="AK24" s="28">
        <f>'[73]Arc Results'!$I$180</f>
        <v>3063</v>
      </c>
      <c r="AL24" s="28">
        <f>'[73]Arc Results'!$I$191</f>
        <v>3067</v>
      </c>
      <c r="AM24" s="28">
        <f>'[73]Arc Results'!$I$81</f>
        <v>2677.4179087613279</v>
      </c>
      <c r="AN24" s="28">
        <f>'[73]Arc Results'!$I$81</f>
        <v>2677.4179087613279</v>
      </c>
      <c r="AP24" s="9">
        <f t="shared" si="10"/>
        <v>1.3333333333333333</v>
      </c>
      <c r="AQ24" s="9">
        <f t="shared" si="11"/>
        <v>1.1864562253566153</v>
      </c>
      <c r="AR24" s="9">
        <f t="shared" si="12"/>
        <v>1.0008928571428568</v>
      </c>
      <c r="AS24" s="9">
        <f t="shared" si="13"/>
        <v>1.0055433909859526</v>
      </c>
      <c r="AT24" s="9">
        <f t="shared" si="14"/>
        <v>1.0313165615938</v>
      </c>
      <c r="AU24" s="9">
        <f t="shared" si="15"/>
        <v>1.000652528548124</v>
      </c>
      <c r="AV24" s="9">
        <f t="shared" si="16"/>
        <v>1</v>
      </c>
    </row>
    <row r="25" spans="1:48" ht="15.75">
      <c r="A25">
        <f t="shared" si="17"/>
        <v>21</v>
      </c>
      <c r="B25" s="9">
        <v>2020</v>
      </c>
      <c r="C25" s="9" t="s">
        <v>4</v>
      </c>
      <c r="D25" s="9" t="s">
        <v>88</v>
      </c>
      <c r="E25" s="7" t="s">
        <v>6</v>
      </c>
      <c r="F25" s="20" t="s">
        <v>82</v>
      </c>
      <c r="G25" s="7" t="s">
        <v>8</v>
      </c>
      <c r="H25" s="7" t="s">
        <v>9</v>
      </c>
      <c r="I25" s="9" t="s">
        <v>45</v>
      </c>
      <c r="J25" s="9">
        <v>500</v>
      </c>
      <c r="K25" s="9">
        <v>0.8</v>
      </c>
      <c r="L25" s="28">
        <f>'[74]Arc Results'!$I$10960+'[74]Arc Results'!$I$10971+'[74]Arc Results'!$I$10982+'[74]Arc Results'!$I$10993+'[74]Arc Results'!$I$11004+'[74]Arc Results'!$I$11015+'[74]Arc Results'!$I$11026+'[74]Arc Results'!$I$11037+'[74]Arc Results'!$I$11048+'[74]Arc Results'!$I$11059+'[74]Arc Results'!$I$11070+'[74]Arc Results'!$I$11081+'[74]Arc Results'!$I$11092+'[74]Arc Results'!$I$11103+'[74]Arc Results'!$I$11114+'[74]Arc Results'!$I$11125+'[74]Arc Results'!$I$11136+'[74]Arc Results'!$I$11147+'[74]Arc Results'!$I$11158+'[74]Arc Results'!$I$11169+'[74]Arc Results'!$I$11180+'[74]Arc Results'!$I$11191+'[74]Arc Results'!$I$11202+'[74]Arc Results'!$I$11213+'[74]Arc Results'!$I$11224+'[74]Arc Results'!$I$11235+'[74]Arc Results'!$I$11246+'[74]Arc Results'!$I$11257+'[74]Arc Results'!$I$11268</f>
        <v>3236.6093915407878</v>
      </c>
      <c r="M25" s="28">
        <f>'[74]Arc Results'!$I$257</f>
        <v>14299.71017142858</v>
      </c>
      <c r="N25" s="28">
        <f t="shared" si="1"/>
        <v>5490</v>
      </c>
      <c r="O25" s="28">
        <f t="shared" si="2"/>
        <v>8884.8338368580062</v>
      </c>
      <c r="P25" s="28">
        <f t="shared" si="3"/>
        <v>5537.5921450151054</v>
      </c>
      <c r="Q25" s="28">
        <f t="shared" si="4"/>
        <v>1313.5891238670695</v>
      </c>
      <c r="R25" s="28">
        <f t="shared" si="5"/>
        <v>453.87915407854985</v>
      </c>
      <c r="S25" s="28">
        <f t="shared" si="6"/>
        <v>289.30513595166161</v>
      </c>
      <c r="T25" s="28">
        <f t="shared" si="7"/>
        <v>6130</v>
      </c>
      <c r="U25" s="38" t="str">
        <f>[74]Log!$K$2</f>
        <v>357.044.878,67</v>
      </c>
      <c r="V25" s="38" t="str">
        <f>[74]Log!$J$2</f>
        <v>89.447.971,23</v>
      </c>
      <c r="W25" s="38" t="str">
        <f>[74]Log!$N$2</f>
        <v>35.475.755,55</v>
      </c>
      <c r="X25" s="32">
        <f t="shared" si="8"/>
        <v>0</v>
      </c>
      <c r="Y25" s="28"/>
      <c r="Z25" s="33">
        <f t="shared" si="9"/>
        <v>42398.909567198978</v>
      </c>
      <c r="AA25" s="28">
        <f>'[74]Arc Results'!$I$15</f>
        <v>108.48942598187311</v>
      </c>
      <c r="AB25" s="28">
        <f>'[74]Arc Results'!$I$26</f>
        <v>180.81570996978851</v>
      </c>
      <c r="AC25" s="28">
        <f>'[74]Arc Results'!$I$48</f>
        <v>562.34592145015108</v>
      </c>
      <c r="AD25" s="28">
        <f>'[74]Arc Results'!$I$59</f>
        <v>751.24320241691839</v>
      </c>
      <c r="AE25" s="28">
        <f>'[74]Arc Results'!$I$114</f>
        <v>216.95468277945619</v>
      </c>
      <c r="AF25" s="28">
        <f>'[74]Arc Results'!$I$125</f>
        <v>236.92447129909365</v>
      </c>
      <c r="AG25" s="28">
        <f>'[74]Arc Results'!$I$147</f>
        <v>2745</v>
      </c>
      <c r="AH25" s="28">
        <f>'[74]Arc Results'!$I$158</f>
        <v>2745</v>
      </c>
      <c r="AI25" s="28">
        <f>'[74]Arc Results'!$I$213</f>
        <v>4331.8126888217521</v>
      </c>
      <c r="AJ25" s="28">
        <f>'[74]Arc Results'!$I$224</f>
        <v>4553.0211480362541</v>
      </c>
      <c r="AK25" s="28">
        <f>'[74]Arc Results'!$I$180</f>
        <v>3063</v>
      </c>
      <c r="AL25" s="28">
        <f>'[74]Arc Results'!$I$191</f>
        <v>3067</v>
      </c>
      <c r="AM25" s="28">
        <f>'[74]Arc Results'!$I$81</f>
        <v>2768.7960725075527</v>
      </c>
      <c r="AN25" s="28">
        <f>'[74]Arc Results'!$I$81</f>
        <v>2768.7960725075527</v>
      </c>
      <c r="AP25" s="9">
        <f t="shared" si="10"/>
        <v>1.25</v>
      </c>
      <c r="AQ25" s="9">
        <f t="shared" si="11"/>
        <v>1.1438024093947075</v>
      </c>
      <c r="AR25" s="9">
        <f t="shared" si="12"/>
        <v>1.0439980297402718</v>
      </c>
      <c r="AS25" s="9">
        <f t="shared" si="13"/>
        <v>1</v>
      </c>
      <c r="AT25" s="9">
        <f t="shared" si="14"/>
        <v>1.0248973096488128</v>
      </c>
      <c r="AU25" s="9">
        <f t="shared" si="15"/>
        <v>1.000652528548124</v>
      </c>
      <c r="AV25" s="9">
        <f t="shared" si="16"/>
        <v>1</v>
      </c>
    </row>
    <row r="26" spans="1:48" ht="15.75">
      <c r="A26">
        <f t="shared" si="17"/>
        <v>22</v>
      </c>
      <c r="B26" s="9">
        <v>2020</v>
      </c>
      <c r="C26" s="9" t="s">
        <v>4</v>
      </c>
      <c r="D26" s="9" t="s">
        <v>88</v>
      </c>
      <c r="E26" s="7" t="s">
        <v>6</v>
      </c>
      <c r="F26" s="20" t="s">
        <v>83</v>
      </c>
      <c r="G26" s="7" t="s">
        <v>8</v>
      </c>
      <c r="H26" s="7" t="s">
        <v>9</v>
      </c>
      <c r="I26" s="9" t="s">
        <v>45</v>
      </c>
      <c r="J26" s="9">
        <v>500</v>
      </c>
      <c r="K26" s="9">
        <v>0.8</v>
      </c>
      <c r="L26" s="28">
        <f>'[75]Arc Results'!$I$10960+'[75]Arc Results'!$I$10971+'[75]Arc Results'!$I$10982+'[75]Arc Results'!$I$10993+'[75]Arc Results'!$I$11004+'[75]Arc Results'!$I$11015+'[75]Arc Results'!$I$11026+'[75]Arc Results'!$I$11037+'[75]Arc Results'!$I$11048+'[75]Arc Results'!$I$11059+'[75]Arc Results'!$I$11070+'[75]Arc Results'!$I$11081+'[75]Arc Results'!$I$11092+'[75]Arc Results'!$I$11103+'[75]Arc Results'!$I$11114+'[75]Arc Results'!$I$11125+'[75]Arc Results'!$I$11136+'[75]Arc Results'!$I$11147+'[75]Arc Results'!$I$11158+'[75]Arc Results'!$I$11169+'[75]Arc Results'!$I$11180+'[75]Arc Results'!$I$11191+'[75]Arc Results'!$I$11202+'[75]Arc Results'!$I$11213+'[75]Arc Results'!$I$11224+'[75]Arc Results'!$I$11235+'[75]Arc Results'!$I$11246+'[75]Arc Results'!$I$11257+'[75]Arc Results'!$I$11268</f>
        <v>3322.308032024172</v>
      </c>
      <c r="M26" s="28">
        <f>'[75]Arc Results'!$I$257</f>
        <v>14299.710171428567</v>
      </c>
      <c r="N26" s="28">
        <f t="shared" si="1"/>
        <v>5613.791540785498</v>
      </c>
      <c r="O26" s="28">
        <f t="shared" si="2"/>
        <v>8000</v>
      </c>
      <c r="P26" s="28">
        <f t="shared" si="3"/>
        <v>5992.388217522659</v>
      </c>
      <c r="Q26" s="28">
        <f t="shared" si="4"/>
        <v>1549.7107250755287</v>
      </c>
      <c r="R26" s="28">
        <f t="shared" si="5"/>
        <v>473.84894259818731</v>
      </c>
      <c r="S26" s="28">
        <f t="shared" si="6"/>
        <v>361.63141993957703</v>
      </c>
      <c r="T26" s="28">
        <f t="shared" si="7"/>
        <v>6130</v>
      </c>
      <c r="U26" s="38" t="str">
        <f>[75]Log!$K$2</f>
        <v>365.024.443,60</v>
      </c>
      <c r="V26" s="38" t="str">
        <f>[75]Log!$J$2</f>
        <v>89.447.971,23</v>
      </c>
      <c r="W26" s="38" t="str">
        <f>[75]Log!$N$2</f>
        <v>35.475.755,55</v>
      </c>
      <c r="X26" s="32">
        <f t="shared" si="8"/>
        <v>0</v>
      </c>
      <c r="Y26" s="28"/>
      <c r="Z26" s="33">
        <f t="shared" si="9"/>
        <v>42421.081017350021</v>
      </c>
      <c r="AA26" s="28">
        <f>'[75]Arc Results'!$I$15</f>
        <v>144.65256797583081</v>
      </c>
      <c r="AB26" s="28">
        <f>'[75]Arc Results'!$I$26</f>
        <v>216.97885196374622</v>
      </c>
      <c r="AC26" s="28">
        <f>'[75]Arc Results'!$I$48</f>
        <v>656.79456193353474</v>
      </c>
      <c r="AD26" s="28">
        <f>'[75]Arc Results'!$I$59</f>
        <v>892.91616314199393</v>
      </c>
      <c r="AE26" s="28">
        <f>'[75]Arc Results'!$I$114</f>
        <v>226.93957703927492</v>
      </c>
      <c r="AF26" s="28">
        <f>'[75]Arc Results'!$I$125</f>
        <v>246.90936555891238</v>
      </c>
      <c r="AG26" s="28">
        <f>'[75]Arc Results'!$I$147</f>
        <v>2794.5166163141994</v>
      </c>
      <c r="AH26" s="28">
        <f>'[75]Arc Results'!$I$158</f>
        <v>2819.2749244712991</v>
      </c>
      <c r="AI26" s="28">
        <f>'[75]Arc Results'!$I$213</f>
        <v>4000</v>
      </c>
      <c r="AJ26" s="28">
        <f>'[75]Arc Results'!$I$224</f>
        <v>4000.0000000000005</v>
      </c>
      <c r="AK26" s="28">
        <f>'[75]Arc Results'!$I$180</f>
        <v>3063</v>
      </c>
      <c r="AL26" s="28">
        <f>'[75]Arc Results'!$I$191</f>
        <v>3067</v>
      </c>
      <c r="AM26" s="28">
        <f>'[75]Arc Results'!$I$81</f>
        <v>2996.1941087613295</v>
      </c>
      <c r="AN26" s="28">
        <f>'[75]Arc Results'!$I$81</f>
        <v>2996.1941087613295</v>
      </c>
      <c r="AP26" s="9">
        <f t="shared" si="10"/>
        <v>1.2</v>
      </c>
      <c r="AQ26" s="9">
        <f t="shared" si="11"/>
        <v>1.1523649526249173</v>
      </c>
      <c r="AR26" s="9">
        <f t="shared" si="12"/>
        <v>1.0421437861824487</v>
      </c>
      <c r="AS26" s="9">
        <f t="shared" si="13"/>
        <v>1.0044102649657054</v>
      </c>
      <c r="AT26" s="9">
        <f t="shared" si="14"/>
        <v>1.0000000000000002</v>
      </c>
      <c r="AU26" s="9">
        <f t="shared" si="15"/>
        <v>1.000652528548124</v>
      </c>
      <c r="AV26" s="9">
        <f t="shared" si="16"/>
        <v>1</v>
      </c>
    </row>
    <row r="27" spans="1:48" ht="15.75">
      <c r="A27">
        <f t="shared" si="17"/>
        <v>23</v>
      </c>
      <c r="B27" s="9">
        <v>2020</v>
      </c>
      <c r="C27" s="9" t="s">
        <v>4</v>
      </c>
      <c r="D27" s="9" t="s">
        <v>88</v>
      </c>
      <c r="E27" s="7" t="s">
        <v>6</v>
      </c>
      <c r="F27" s="20" t="s">
        <v>84</v>
      </c>
      <c r="G27" s="7" t="s">
        <v>8</v>
      </c>
      <c r="H27" s="7" t="s">
        <v>9</v>
      </c>
      <c r="I27" s="9" t="s">
        <v>45</v>
      </c>
      <c r="J27" s="9">
        <v>500</v>
      </c>
      <c r="K27" s="9">
        <v>0.8</v>
      </c>
      <c r="L27" s="28">
        <f>'[76]Arc Results'!$I$10960+'[76]Arc Results'!$I$10971+'[76]Arc Results'!$I$10982+'[76]Arc Results'!$I$10993+'[76]Arc Results'!$I$11004+'[76]Arc Results'!$I$11015+'[76]Arc Results'!$I$11026+'[76]Arc Results'!$I$11037+'[76]Arc Results'!$I$11048+'[76]Arc Results'!$I$11059+'[76]Arc Results'!$I$11070+'[76]Arc Results'!$I$11081+'[76]Arc Results'!$I$11092+'[76]Arc Results'!$I$11103+'[76]Arc Results'!$I$11114+'[76]Arc Results'!$I$11125+'[76]Arc Results'!$I$11136+'[76]Arc Results'!$I$11147+'[76]Arc Results'!$I$11158+'[76]Arc Results'!$I$11169+'[76]Arc Results'!$I$11180+'[76]Arc Results'!$I$11191+'[76]Arc Results'!$I$11202+'[76]Arc Results'!$I$11213+'[76]Arc Results'!$I$11224+'[76]Arc Results'!$I$11235+'[76]Arc Results'!$I$11246+'[76]Arc Results'!$I$11257+'[76]Arc Results'!$I$11268</f>
        <v>3471.0705117824805</v>
      </c>
      <c r="M27" s="28">
        <f>'[76]Arc Results'!$I$257</f>
        <v>14299.710171428575</v>
      </c>
      <c r="N27" s="28">
        <f t="shared" si="1"/>
        <v>5650.9290030211487</v>
      </c>
      <c r="O27" s="28">
        <f t="shared" si="2"/>
        <v>9431.0245643504531</v>
      </c>
      <c r="P27" s="28">
        <f t="shared" si="3"/>
        <v>4628</v>
      </c>
      <c r="Q27" s="28">
        <f t="shared" si="4"/>
        <v>1785.8323262839879</v>
      </c>
      <c r="R27" s="28">
        <f t="shared" si="5"/>
        <v>503.80362537764347</v>
      </c>
      <c r="S27" s="28">
        <f t="shared" si="6"/>
        <v>462.89728096676737</v>
      </c>
      <c r="T27" s="28">
        <f t="shared" si="7"/>
        <v>6130</v>
      </c>
      <c r="U27" s="38" t="str">
        <f>[76]Log!$K$2</f>
        <v>355.294.099,55</v>
      </c>
      <c r="V27" s="38" t="str">
        <f>[76]Log!$J$2</f>
        <v>89.447.971,23</v>
      </c>
      <c r="W27" s="38" t="str">
        <f>[76]Log!$N$2</f>
        <v>35.475.755,55</v>
      </c>
      <c r="X27" s="32">
        <f t="shared" si="8"/>
        <v>0</v>
      </c>
      <c r="Y27" s="28"/>
      <c r="Z27" s="33">
        <f t="shared" si="9"/>
        <v>42892.196971428581</v>
      </c>
      <c r="AA27" s="28">
        <f>'[76]Arc Results'!$I$15</f>
        <v>198.89728096676737</v>
      </c>
      <c r="AB27" s="28">
        <f>'[76]Arc Results'!$I$26</f>
        <v>264</v>
      </c>
      <c r="AC27" s="28">
        <f>'[76]Arc Results'!$I$48</f>
        <v>798.46752265861028</v>
      </c>
      <c r="AD27" s="28">
        <f>'[76]Arc Results'!$I$59</f>
        <v>987.36480362537759</v>
      </c>
      <c r="AE27" s="28">
        <f>'[76]Arc Results'!$I$114</f>
        <v>241.916918429003</v>
      </c>
      <c r="AF27" s="28">
        <f>'[76]Arc Results'!$I$125</f>
        <v>261.88670694864049</v>
      </c>
      <c r="AG27" s="28">
        <f>'[76]Arc Results'!$I$147</f>
        <v>2813.0853474320243</v>
      </c>
      <c r="AH27" s="28">
        <f>'[76]Arc Results'!$I$158</f>
        <v>2837.843655589124</v>
      </c>
      <c r="AI27" s="28">
        <f>'[76]Arc Results'!$I$213</f>
        <v>4601.492842296072</v>
      </c>
      <c r="AJ27" s="28">
        <f>'[76]Arc Results'!$I$224</f>
        <v>4829.5317220543802</v>
      </c>
      <c r="AK27" s="28">
        <f>'[76]Arc Results'!$I$180</f>
        <v>3063</v>
      </c>
      <c r="AL27" s="28">
        <f>'[76]Arc Results'!$I$191</f>
        <v>3067</v>
      </c>
      <c r="AM27" s="28">
        <f>'[76]Arc Results'!$I$81</f>
        <v>2314</v>
      </c>
      <c r="AN27" s="28">
        <f>'[76]Arc Results'!$I$81</f>
        <v>2314</v>
      </c>
      <c r="AP27" s="9">
        <f t="shared" si="10"/>
        <v>1.1406418264053413</v>
      </c>
      <c r="AQ27" s="9">
        <f t="shared" si="11"/>
        <v>1.1057754852942048</v>
      </c>
      <c r="AR27" s="9">
        <f t="shared" si="12"/>
        <v>1.039638040525549</v>
      </c>
      <c r="AS27" s="9">
        <f t="shared" si="13"/>
        <v>1.0043812810502242</v>
      </c>
      <c r="AT27" s="9">
        <f t="shared" si="14"/>
        <v>1.0241796507052161</v>
      </c>
      <c r="AU27" s="9">
        <f t="shared" si="15"/>
        <v>1.000652528548124</v>
      </c>
      <c r="AV27" s="9">
        <f t="shared" si="16"/>
        <v>1</v>
      </c>
    </row>
    <row r="28" spans="1:48" ht="15.75">
      <c r="A28">
        <f t="shared" si="17"/>
        <v>24</v>
      </c>
      <c r="B28" s="9">
        <v>2020</v>
      </c>
      <c r="C28" s="9" t="s">
        <v>4</v>
      </c>
      <c r="D28" s="9" t="s">
        <v>88</v>
      </c>
      <c r="E28" s="7" t="s">
        <v>6</v>
      </c>
      <c r="F28" s="20" t="s">
        <v>85</v>
      </c>
      <c r="G28" s="7" t="s">
        <v>8</v>
      </c>
      <c r="H28" s="7" t="s">
        <v>9</v>
      </c>
      <c r="I28" s="9" t="s">
        <v>45</v>
      </c>
      <c r="J28" s="9">
        <v>500</v>
      </c>
      <c r="K28" s="9">
        <v>0.8</v>
      </c>
      <c r="L28" s="28">
        <f>'[77]Arc Results'!$I$10960+'[77]Arc Results'!$I$10971+'[77]Arc Results'!$I$10982+'[77]Arc Results'!$I$10993+'[77]Arc Results'!$I$11004+'[77]Arc Results'!$I$11015+'[77]Arc Results'!$I$11026+'[77]Arc Results'!$I$11037+'[77]Arc Results'!$I$11048+'[77]Arc Results'!$I$11059+'[77]Arc Results'!$I$11070+'[77]Arc Results'!$I$11081+'[77]Arc Results'!$I$11092+'[77]Arc Results'!$I$11103+'[77]Arc Results'!$I$11114+'[77]Arc Results'!$I$11125+'[77]Arc Results'!$I$11136+'[77]Arc Results'!$I$11147+'[77]Arc Results'!$I$11158+'[77]Arc Results'!$I$11169+'[77]Arc Results'!$I$11180+'[77]Arc Results'!$I$11191+'[77]Arc Results'!$I$11202+'[77]Arc Results'!$I$11213+'[77]Arc Results'!$I$11224+'[77]Arc Results'!$I$11235+'[77]Arc Results'!$I$11246+'[77]Arc Results'!$I$11257+'[77]Arc Results'!$I$11268</f>
        <v>3227.1001854984911</v>
      </c>
      <c r="M28" s="28">
        <f>'[77]Arc Results'!$I$257</f>
        <v>14299.71017142858</v>
      </c>
      <c r="N28" s="28">
        <f t="shared" si="1"/>
        <v>5595.2228096676736</v>
      </c>
      <c r="O28" s="28">
        <f t="shared" si="2"/>
        <v>8940.1359516616321</v>
      </c>
      <c r="P28" s="28">
        <f t="shared" si="3"/>
        <v>5566.8290199395751</v>
      </c>
      <c r="Q28" s="28">
        <f t="shared" si="4"/>
        <v>1408.037764350453</v>
      </c>
      <c r="R28" s="28">
        <f t="shared" si="5"/>
        <v>458.8716012084592</v>
      </c>
      <c r="S28" s="28">
        <f t="shared" si="6"/>
        <v>0</v>
      </c>
      <c r="T28" s="28">
        <f t="shared" si="7"/>
        <v>6130</v>
      </c>
      <c r="U28" s="38" t="str">
        <f>[77]Log!$K$2</f>
        <v>340.807.897,31</v>
      </c>
      <c r="V28" s="38" t="str">
        <f>[77]Log!$J$2</f>
        <v>89.447.971,23</v>
      </c>
      <c r="W28" s="38" t="str">
        <f>[77]Log!$N$2</f>
        <v>35.475.755,55</v>
      </c>
      <c r="X28" s="32">
        <f t="shared" si="8"/>
        <v>0</v>
      </c>
      <c r="Y28" s="28"/>
      <c r="Z28" s="33">
        <f t="shared" si="9"/>
        <v>42398.807318256375</v>
      </c>
      <c r="AA28" s="28">
        <f>'[77]Arc Results'!$I$15</f>
        <v>0</v>
      </c>
      <c r="AB28" s="28">
        <f>'[77]Arc Results'!$I$26</f>
        <v>0</v>
      </c>
      <c r="AC28" s="28">
        <f>'[77]Arc Results'!$I$48</f>
        <v>609.57024169184285</v>
      </c>
      <c r="AD28" s="28">
        <f>'[77]Arc Results'!$I$59</f>
        <v>798.46752265861028</v>
      </c>
      <c r="AE28" s="28">
        <f>'[77]Arc Results'!$I$114</f>
        <v>216.95468277945619</v>
      </c>
      <c r="AF28" s="28">
        <f>'[77]Arc Results'!$I$125</f>
        <v>241.916918429003</v>
      </c>
      <c r="AG28" s="28">
        <f>'[77]Arc Results'!$I$147</f>
        <v>2782.1374622356498</v>
      </c>
      <c r="AH28" s="28">
        <f>'[77]Arc Results'!$I$158</f>
        <v>2813.0853474320243</v>
      </c>
      <c r="AI28" s="28">
        <f>'[77]Arc Results'!$I$213</f>
        <v>4331.8126888217521</v>
      </c>
      <c r="AJ28" s="28">
        <f>'[77]Arc Results'!$I$224</f>
        <v>4608.3232628398791</v>
      </c>
      <c r="AK28" s="28">
        <f>'[77]Arc Results'!$I$180</f>
        <v>3063</v>
      </c>
      <c r="AL28" s="28">
        <f>'[77]Arc Results'!$I$191</f>
        <v>3067</v>
      </c>
      <c r="AM28" s="28">
        <f>'[77]Arc Results'!$I$81</f>
        <v>2783.4145099697876</v>
      </c>
      <c r="AN28" s="28">
        <f>'[77]Arc Results'!$I$81</f>
        <v>2783.4145099697876</v>
      </c>
      <c r="AP28" s="9" t="e">
        <f t="shared" si="10"/>
        <v>#DIV/0!</v>
      </c>
      <c r="AQ28" s="9">
        <f t="shared" si="11"/>
        <v>1.134156402441314</v>
      </c>
      <c r="AR28" s="9">
        <f t="shared" si="12"/>
        <v>1.0543991730667308</v>
      </c>
      <c r="AS28" s="9">
        <f t="shared" si="13"/>
        <v>1.0055311265072235</v>
      </c>
      <c r="AT28" s="9">
        <f t="shared" si="14"/>
        <v>1.0309291240662546</v>
      </c>
      <c r="AU28" s="9">
        <f t="shared" si="15"/>
        <v>1.000652528548124</v>
      </c>
      <c r="AV28" s="9">
        <f t="shared" si="16"/>
        <v>1</v>
      </c>
    </row>
    <row r="29" spans="1:48" ht="15.75">
      <c r="A29">
        <f t="shared" si="17"/>
        <v>25</v>
      </c>
      <c r="B29" s="9">
        <v>2020</v>
      </c>
      <c r="C29" s="9" t="s">
        <v>4</v>
      </c>
      <c r="D29" s="9" t="s">
        <v>88</v>
      </c>
      <c r="E29" s="7" t="s">
        <v>6</v>
      </c>
      <c r="F29" s="20" t="s">
        <v>86</v>
      </c>
      <c r="G29" s="7" t="s">
        <v>8</v>
      </c>
      <c r="H29" s="7" t="s">
        <v>9</v>
      </c>
      <c r="I29" s="9" t="s">
        <v>45</v>
      </c>
      <c r="J29" s="9">
        <v>500</v>
      </c>
      <c r="K29" s="9">
        <v>0.8</v>
      </c>
      <c r="L29" s="28">
        <f>'[78]Arc Results'!$I$10960+'[78]Arc Results'!$I$10971+'[78]Arc Results'!$I$10982+'[78]Arc Results'!$I$10993+'[78]Arc Results'!$I$11004+'[78]Arc Results'!$I$11015+'[78]Arc Results'!$I$11026+'[78]Arc Results'!$I$11037+'[78]Arc Results'!$I$11048+'[78]Arc Results'!$I$11059+'[78]Arc Results'!$I$11070+'[78]Arc Results'!$I$11081+'[78]Arc Results'!$I$11092+'[78]Arc Results'!$I$11103+'[78]Arc Results'!$I$11114+'[78]Arc Results'!$I$11125+'[78]Arc Results'!$I$11136+'[78]Arc Results'!$I$11147+'[78]Arc Results'!$I$11158+'[78]Arc Results'!$I$11169+'[78]Arc Results'!$I$11180+'[78]Arc Results'!$I$11191+'[78]Arc Results'!$I$11202+'[78]Arc Results'!$I$11213+'[78]Arc Results'!$I$11224+'[78]Arc Results'!$I$11235+'[78]Arc Results'!$I$11246+'[78]Arc Results'!$I$11257+'[78]Arc Results'!$I$11268</f>
        <v>3349.4056990936565</v>
      </c>
      <c r="M29" s="28">
        <f>'[78]Arc Results'!$I$257</f>
        <v>14299.710171428567</v>
      </c>
      <c r="N29" s="28">
        <f t="shared" si="1"/>
        <v>5607.6019637462232</v>
      </c>
      <c r="O29" s="28">
        <f t="shared" si="2"/>
        <v>9074.7071836857976</v>
      </c>
      <c r="P29" s="28">
        <f t="shared" si="3"/>
        <v>5992.388217522659</v>
      </c>
      <c r="Q29" s="28">
        <f t="shared" si="4"/>
        <v>558</v>
      </c>
      <c r="R29" s="28">
        <f t="shared" si="5"/>
        <v>473.84894259818731</v>
      </c>
      <c r="S29" s="28">
        <f t="shared" si="6"/>
        <v>361.63141993957703</v>
      </c>
      <c r="T29" s="28">
        <f t="shared" si="7"/>
        <v>6130</v>
      </c>
      <c r="U29" s="38" t="str">
        <f>[78]Log!$K$2</f>
        <v>342.730.760,08</v>
      </c>
      <c r="V29" s="38" t="str">
        <f>[78]Log!$J$2</f>
        <v>89.447.971,23</v>
      </c>
      <c r="W29" s="38" t="str">
        <f>[78]Log!$N$2</f>
        <v>35.475.755,55</v>
      </c>
      <c r="X29" s="32">
        <f t="shared" si="8"/>
        <v>0</v>
      </c>
      <c r="Y29" s="28"/>
      <c r="Z29" s="33">
        <f t="shared" si="9"/>
        <v>42497.887898921013</v>
      </c>
      <c r="AA29" s="28">
        <f>'[78]Arc Results'!$I$15</f>
        <v>144.65256797583081</v>
      </c>
      <c r="AB29" s="28">
        <f>'[78]Arc Results'!$I$26</f>
        <v>216.97885196374622</v>
      </c>
      <c r="AC29" s="28">
        <f>'[78]Arc Results'!$I$48</f>
        <v>279</v>
      </c>
      <c r="AD29" s="28">
        <f>'[78]Arc Results'!$I$59</f>
        <v>279</v>
      </c>
      <c r="AE29" s="28">
        <f>'[78]Arc Results'!$I$114</f>
        <v>226.93957703927492</v>
      </c>
      <c r="AF29" s="28">
        <f>'[78]Arc Results'!$I$125</f>
        <v>246.90936555891238</v>
      </c>
      <c r="AG29" s="28">
        <f>'[78]Arc Results'!$I$147</f>
        <v>2788.3270392749246</v>
      </c>
      <c r="AH29" s="28">
        <f>'[78]Arc Results'!$I$158</f>
        <v>2819.2749244712991</v>
      </c>
      <c r="AI29" s="28">
        <f>'[78]Arc Results'!$I$213</f>
        <v>4411.0818060422935</v>
      </c>
      <c r="AJ29" s="28">
        <f>'[78]Arc Results'!$I$224</f>
        <v>4663.6253776435042</v>
      </c>
      <c r="AK29" s="28">
        <f>'[78]Arc Results'!$I$180</f>
        <v>3063</v>
      </c>
      <c r="AL29" s="28">
        <f>'[78]Arc Results'!$I$191</f>
        <v>3067.0000000000005</v>
      </c>
      <c r="AM29" s="28">
        <f>'[78]Arc Results'!$I$81</f>
        <v>2996.1941087613295</v>
      </c>
      <c r="AN29" s="28">
        <f>'[78]Arc Results'!$I$81</f>
        <v>2996.1941087613295</v>
      </c>
      <c r="AP29" s="9">
        <f t="shared" si="10"/>
        <v>1.2</v>
      </c>
      <c r="AQ29" s="9">
        <f t="shared" si="11"/>
        <v>1</v>
      </c>
      <c r="AR29" s="9">
        <f t="shared" si="12"/>
        <v>1.0421437861824487</v>
      </c>
      <c r="AS29" s="9">
        <f t="shared" si="13"/>
        <v>1.0055189161777986</v>
      </c>
      <c r="AT29" s="9">
        <f t="shared" si="14"/>
        <v>1.0278293906887954</v>
      </c>
      <c r="AU29" s="9">
        <f t="shared" si="15"/>
        <v>1.000652528548124</v>
      </c>
      <c r="AV29" s="9">
        <f t="shared" si="16"/>
        <v>1</v>
      </c>
    </row>
    <row r="30" spans="1:48" ht="15.75">
      <c r="A30">
        <f t="shared" si="17"/>
        <v>26</v>
      </c>
      <c r="B30" s="9">
        <v>2020</v>
      </c>
      <c r="C30" s="9" t="s">
        <v>4</v>
      </c>
      <c r="D30" s="9" t="s">
        <v>88</v>
      </c>
      <c r="E30" s="7" t="s">
        <v>6</v>
      </c>
      <c r="F30" s="20" t="s">
        <v>87</v>
      </c>
      <c r="G30" s="7" t="s">
        <v>8</v>
      </c>
      <c r="H30" s="7" t="s">
        <v>9</v>
      </c>
      <c r="I30" s="9" t="s">
        <v>45</v>
      </c>
      <c r="J30" s="9">
        <v>500</v>
      </c>
      <c r="K30" s="9">
        <v>0.8</v>
      </c>
      <c r="L30" s="28">
        <f>'[79]Arc Results'!$I$10960+'[79]Arc Results'!$I$10971+'[79]Arc Results'!$I$10982+'[79]Arc Results'!$I$10993+'[79]Arc Results'!$I$11004+'[79]Arc Results'!$I$11015+'[79]Arc Results'!$I$11026+'[79]Arc Results'!$I$11037+'[79]Arc Results'!$I$11048+'[79]Arc Results'!$I$11059+'[79]Arc Results'!$I$11070+'[79]Arc Results'!$I$11081+'[79]Arc Results'!$I$11092+'[79]Arc Results'!$I$11103+'[79]Arc Results'!$I$11114+'[79]Arc Results'!$I$11125+'[79]Arc Results'!$I$11136+'[79]Arc Results'!$I$11147+'[79]Arc Results'!$I$11158+'[79]Arc Results'!$I$11169+'[79]Arc Results'!$I$11180+'[79]Arc Results'!$I$11191+'[79]Arc Results'!$I$11202+'[79]Arc Results'!$I$11213+'[79]Arc Results'!$I$11224+'[79]Arc Results'!$I$11235+'[79]Arc Results'!$I$11246+'[79]Arc Results'!$I$11257+'[79]Arc Results'!$I$11268</f>
        <v>3243.7921709969823</v>
      </c>
      <c r="M30" s="28">
        <f>'[79]Arc Results'!$I$257</f>
        <v>14299.710171428585</v>
      </c>
      <c r="N30" s="28">
        <f t="shared" si="1"/>
        <v>5589.0332326283988</v>
      </c>
      <c r="O30" s="28">
        <f t="shared" si="2"/>
        <v>8884.8338368580062</v>
      </c>
      <c r="P30" s="28">
        <f t="shared" si="3"/>
        <v>5537.5921450151054</v>
      </c>
      <c r="Q30" s="28">
        <f t="shared" si="4"/>
        <v>1313.5891238670695</v>
      </c>
      <c r="R30" s="28">
        <f t="shared" si="5"/>
        <v>374</v>
      </c>
      <c r="S30" s="28">
        <f t="shared" si="6"/>
        <v>289.30513595166161</v>
      </c>
      <c r="T30" s="28">
        <f t="shared" si="7"/>
        <v>6130</v>
      </c>
      <c r="U30" s="38" t="str">
        <f>[79]Log!$K$2</f>
        <v>341.789.350,59</v>
      </c>
      <c r="V30" s="38" t="str">
        <f>[79]Log!$J$2</f>
        <v>89.447.971,23</v>
      </c>
      <c r="W30" s="38" t="str">
        <f>[79]Log!$N$2</f>
        <v>35.475.755,55</v>
      </c>
      <c r="X30" s="32">
        <f t="shared" si="8"/>
        <v>0</v>
      </c>
      <c r="Y30" s="28"/>
      <c r="Z30" s="33">
        <f t="shared" si="9"/>
        <v>42418.063645748829</v>
      </c>
      <c r="AA30" s="28">
        <f>'[79]Arc Results'!$I$15</f>
        <v>108.48942598187311</v>
      </c>
      <c r="AB30" s="28">
        <f>'[79]Arc Results'!$I$26</f>
        <v>180.81570996978851</v>
      </c>
      <c r="AC30" s="28">
        <f>'[79]Arc Results'!$I$48</f>
        <v>562.34592145015108</v>
      </c>
      <c r="AD30" s="28">
        <f>'[79]Arc Results'!$I$59</f>
        <v>751.24320241691839</v>
      </c>
      <c r="AE30" s="28">
        <f>'[79]Arc Results'!$I$114</f>
        <v>187</v>
      </c>
      <c r="AF30" s="28">
        <f>'[79]Arc Results'!$I$125</f>
        <v>187</v>
      </c>
      <c r="AG30" s="28">
        <f>'[79]Arc Results'!$I$147</f>
        <v>2782.1374622356498</v>
      </c>
      <c r="AH30" s="28">
        <f>'[79]Arc Results'!$I$158</f>
        <v>2806.8957703927495</v>
      </c>
      <c r="AI30" s="28">
        <f>'[79]Arc Results'!$I$213</f>
        <v>4331.8126888217521</v>
      </c>
      <c r="AJ30" s="28">
        <f>'[79]Arc Results'!$I$224</f>
        <v>4553.0211480362541</v>
      </c>
      <c r="AK30" s="28">
        <f>'[79]Arc Results'!$I$180</f>
        <v>3063</v>
      </c>
      <c r="AL30" s="28">
        <f>'[79]Arc Results'!$I$191</f>
        <v>3067</v>
      </c>
      <c r="AM30" s="28">
        <f>'[79]Arc Results'!$I$81</f>
        <v>2768.7960725075527</v>
      </c>
      <c r="AN30" s="28">
        <f>'[79]Arc Results'!$I$81</f>
        <v>2768.7960725075527</v>
      </c>
      <c r="AP30" s="9">
        <f t="shared" si="10"/>
        <v>1.25</v>
      </c>
      <c r="AQ30" s="9">
        <f t="shared" si="11"/>
        <v>1.1438024093947075</v>
      </c>
      <c r="AR30" s="9">
        <f t="shared" si="12"/>
        <v>1</v>
      </c>
      <c r="AS30" s="9">
        <f t="shared" si="13"/>
        <v>1.0044298015643498</v>
      </c>
      <c r="AT30" s="9">
        <f t="shared" si="14"/>
        <v>1.0248973096488128</v>
      </c>
      <c r="AU30" s="9">
        <f t="shared" si="15"/>
        <v>1.000652528548124</v>
      </c>
      <c r="AV30" s="9">
        <f t="shared" si="16"/>
        <v>1</v>
      </c>
    </row>
    <row r="31" spans="1:48" ht="15.75">
      <c r="A31">
        <f t="shared" si="17"/>
        <v>27</v>
      </c>
      <c r="B31" s="9">
        <v>2020</v>
      </c>
      <c r="C31" s="9" t="s">
        <v>89</v>
      </c>
      <c r="D31" s="9" t="s">
        <v>5</v>
      </c>
      <c r="E31" s="7" t="s">
        <v>6</v>
      </c>
      <c r="F31" s="20" t="s">
        <v>7</v>
      </c>
      <c r="G31" s="7" t="s">
        <v>8</v>
      </c>
      <c r="H31" s="7" t="s">
        <v>9</v>
      </c>
      <c r="I31" s="9" t="s">
        <v>45</v>
      </c>
      <c r="J31" s="9">
        <v>500</v>
      </c>
      <c r="K31" s="9">
        <v>0.8</v>
      </c>
      <c r="L31" s="28">
        <f>'[80]Arc Results'!$I$10960+'[80]Arc Results'!$I$10971+'[80]Arc Results'!$I$10982+'[80]Arc Results'!$I$10993+'[80]Arc Results'!$I$11004+'[80]Arc Results'!$I$11015+'[80]Arc Results'!$I$11026+'[80]Arc Results'!$I$11037+'[80]Arc Results'!$I$11048+'[80]Arc Results'!$I$11059+'[80]Arc Results'!$I$11070+'[80]Arc Results'!$I$11081+'[80]Arc Results'!$I$11092+'[80]Arc Results'!$I$11103+'[80]Arc Results'!$I$11114+'[80]Arc Results'!$I$11125+'[80]Arc Results'!$I$11136+'[80]Arc Results'!$I$11147+'[80]Arc Results'!$I$11158+'[80]Arc Results'!$I$11169+'[80]Arc Results'!$I$11180+'[80]Arc Results'!$I$11191+'[80]Arc Results'!$I$11202+'[80]Arc Results'!$I$11213+'[80]Arc Results'!$I$11224+'[80]Arc Results'!$I$11235+'[80]Arc Results'!$I$11246+'[80]Arc Results'!$I$11257+'[80]Arc Results'!$I$11268</f>
        <v>3935.8572143629376</v>
      </c>
      <c r="M31" s="28">
        <f>'[80]Arc Results'!$I$257</f>
        <v>6165.6514285714366</v>
      </c>
      <c r="N31" s="28">
        <f t="shared" ref="N31" si="18">SUM(AG31:AH31)</f>
        <v>5703.5762548262555</v>
      </c>
      <c r="O31" s="28">
        <f t="shared" ref="O31" si="19">SUM(AI31:AJ31)</f>
        <v>9908.2432432432433</v>
      </c>
      <c r="P31" s="28">
        <f t="shared" ref="P31" si="20">SUM(AM31:AN31)</f>
        <v>7307.4085760536318</v>
      </c>
      <c r="Q31" s="28">
        <f t="shared" ref="Q31" si="21">SUM(AC31:AD31)</f>
        <v>2247.864864864865</v>
      </c>
      <c r="R31" s="28">
        <f t="shared" ref="R31" si="22">SUM(AE31:AF31)</f>
        <v>546.26833976833973</v>
      </c>
      <c r="S31" s="28">
        <f t="shared" ref="S31" si="23">SUM(AA31:AB31)</f>
        <v>589.18918918918916</v>
      </c>
      <c r="T31" s="28">
        <f t="shared" ref="T31" si="24">SUM(AK31:AL31)</f>
        <v>6130</v>
      </c>
      <c r="U31" s="38" t="str">
        <f>[80]Log!$K$2</f>
        <v>326.651.341,53</v>
      </c>
      <c r="V31" s="38" t="str">
        <f>[80]Log!$J$2</f>
        <v>47.021.195,86</v>
      </c>
      <c r="W31" s="38" t="str">
        <f>[80]Log!$N$2</f>
        <v>71.948.395,79</v>
      </c>
      <c r="X31" s="32">
        <f t="shared" ref="X31" si="25">SUM(U31:W31)</f>
        <v>0</v>
      </c>
      <c r="Y31" s="28"/>
      <c r="Z31" s="33">
        <f t="shared" ref="Z31" si="26">M31+N31+O31+P31+Q31+R31+S31+T31</f>
        <v>38598.201896516963</v>
      </c>
      <c r="AA31" s="28">
        <f>'[80]Arc Results'!$I$15</f>
        <v>254.18918918918914</v>
      </c>
      <c r="AB31" s="28">
        <f>'[80]Arc Results'!$I$26</f>
        <v>335</v>
      </c>
      <c r="AC31" s="28">
        <f>'[80]Arc Results'!$I$48</f>
        <v>1003.2277992277992</v>
      </c>
      <c r="AD31" s="28">
        <f>'[80]Arc Results'!$I$59</f>
        <v>1244.6370656370657</v>
      </c>
      <c r="AE31" s="28">
        <f>'[80]Arc Results'!$I$114</f>
        <v>257.18339768339769</v>
      </c>
      <c r="AF31" s="28">
        <f>'[80]Arc Results'!$I$125</f>
        <v>289.0849420849421</v>
      </c>
      <c r="AG31" s="28">
        <f>'[80]Arc Results'!$I$147</f>
        <v>2832.0125482625485</v>
      </c>
      <c r="AH31" s="28">
        <f>'[80]Arc Results'!$I$158</f>
        <v>2871.5637065637065</v>
      </c>
      <c r="AI31" s="28">
        <f>'[80]Arc Results'!$I$213</f>
        <v>4777.4324324324325</v>
      </c>
      <c r="AJ31" s="28">
        <f>'[80]Arc Results'!$I$224</f>
        <v>5130.8108108108108</v>
      </c>
      <c r="AK31" s="28">
        <f>'[80]Arc Results'!$I$180</f>
        <v>3063</v>
      </c>
      <c r="AL31" s="28">
        <f>'[80]Arc Results'!$I$191</f>
        <v>3067</v>
      </c>
      <c r="AM31" s="28">
        <f>'[80]Arc Results'!$I$81</f>
        <v>3653.7042880268159</v>
      </c>
      <c r="AN31" s="28">
        <f>'[80]Arc Results'!$I$81</f>
        <v>3653.7042880268159</v>
      </c>
      <c r="AP31" s="9">
        <f t="shared" si="10"/>
        <v>1.1371559633027524</v>
      </c>
      <c r="AQ31" s="9">
        <f t="shared" si="11"/>
        <v>1.1073949195890738</v>
      </c>
      <c r="AR31" s="9">
        <f t="shared" si="12"/>
        <v>1.0583990359299849</v>
      </c>
      <c r="AS31" s="9">
        <f t="shared" si="13"/>
        <v>1.0069344489376626</v>
      </c>
      <c r="AT31" s="9">
        <f t="shared" si="14"/>
        <v>1.0356650891286261</v>
      </c>
      <c r="AU31" s="9">
        <f t="shared" si="15"/>
        <v>1.000652528548124</v>
      </c>
      <c r="AV31" s="9">
        <f t="shared" si="16"/>
        <v>1</v>
      </c>
    </row>
    <row r="32" spans="1:48" ht="15.75">
      <c r="A32">
        <f t="shared" si="17"/>
        <v>28</v>
      </c>
      <c r="B32" s="9">
        <v>2020</v>
      </c>
      <c r="C32" s="9" t="s">
        <v>89</v>
      </c>
      <c r="D32" s="9" t="s">
        <v>5</v>
      </c>
      <c r="E32" s="7" t="s">
        <v>6</v>
      </c>
      <c r="F32" s="20" t="s">
        <v>76</v>
      </c>
      <c r="G32" s="7" t="s">
        <v>8</v>
      </c>
      <c r="H32" s="7" t="s">
        <v>9</v>
      </c>
      <c r="I32" s="9" t="s">
        <v>45</v>
      </c>
      <c r="J32" s="9">
        <v>500</v>
      </c>
      <c r="K32" s="9">
        <v>0.8</v>
      </c>
      <c r="L32" s="21">
        <f>'[81]Arc Results'!$I$10960+'[81]Arc Results'!$I$10971+'[81]Arc Results'!$I$10982+'[81]Arc Results'!$I$10993+'[81]Arc Results'!$I$11004+'[81]Arc Results'!$I$11015+'[81]Arc Results'!$I$11026+'[81]Arc Results'!$I$11037+'[81]Arc Results'!$I$11048+'[81]Arc Results'!$I$11059+'[81]Arc Results'!$I$11070+'[81]Arc Results'!$I$11081+'[81]Arc Results'!$I$11092+'[81]Arc Results'!$I$11103+'[81]Arc Results'!$I$11114+'[81]Arc Results'!$I$11125+'[81]Arc Results'!$I$11136+'[81]Arc Results'!$I$11147+'[81]Arc Results'!$I$11158+'[81]Arc Results'!$I$11169+'[81]Arc Results'!$I$11180+'[81]Arc Results'!$I$11191+'[81]Arc Results'!$I$11202+'[81]Arc Results'!$I$11213+'[81]Arc Results'!$I$11224+'[81]Arc Results'!$I$11235+'[81]Arc Results'!$I$11246+'[81]Arc Results'!$I$11257+'[81]Arc Results'!$I$11268</f>
        <v>3829.7891641698839</v>
      </c>
      <c r="M32" s="21">
        <f>'[81]Arc Results'!$I$257</f>
        <v>6165.6514285714466</v>
      </c>
      <c r="N32" s="21">
        <f t="shared" ref="N32" si="27">SUM(AG32:AH32)</f>
        <v>6124</v>
      </c>
      <c r="O32" s="21">
        <f t="shared" ref="O32" si="28">SUM(AI32:AJ32)</f>
        <v>9821.6454077179314</v>
      </c>
      <c r="P32" s="22">
        <f t="shared" ref="P32" si="29">SUM(AM32:AN32)</f>
        <v>7243.516409266409</v>
      </c>
      <c r="Q32" s="22">
        <f t="shared" ref="Q32" si="30">SUM(AC32:AD32)</f>
        <v>2127.1602316602316</v>
      </c>
      <c r="R32" s="22">
        <f t="shared" ref="R32" si="31">SUM(AE32:AF32)</f>
        <v>533.50772200772201</v>
      </c>
      <c r="S32" s="22">
        <f t="shared" ref="S32" si="32">SUM(AA32:AB32)</f>
        <v>566.08108108108104</v>
      </c>
      <c r="T32" s="22">
        <f t="shared" ref="T32" si="33">SUM(AK32:AL32)</f>
        <v>6130</v>
      </c>
      <c r="U32" s="39" t="str">
        <f>[81]Log!$K$2</f>
        <v>312.414.743,93</v>
      </c>
      <c r="V32" s="39" t="str">
        <f>[81]Log!$J$2</f>
        <v>47.021.195,86</v>
      </c>
      <c r="W32" s="39" t="str">
        <f>[81]Log!$N$2</f>
        <v>71.948.395,79</v>
      </c>
      <c r="X32" s="23">
        <f t="shared" ref="X32" si="34">SUM(U32:W32)</f>
        <v>0</v>
      </c>
      <c r="Y32" s="22"/>
      <c r="Z32" s="24">
        <f t="shared" ref="Z32" si="35">M32+N32+O32+P32+Q32+R32+S32+T32</f>
        <v>38711.562280304825</v>
      </c>
      <c r="AA32" s="22">
        <f>'[81]Arc Results'!$I$15</f>
        <v>231.08108108108104</v>
      </c>
      <c r="AB32" s="22">
        <f>'[81]Arc Results'!$I$26</f>
        <v>335</v>
      </c>
      <c r="AC32" s="22">
        <f>'[81]Arc Results'!$I$48</f>
        <v>942.87548262548262</v>
      </c>
      <c r="AD32" s="22">
        <f>'[81]Arc Results'!$I$59</f>
        <v>1184.284749034749</v>
      </c>
      <c r="AE32" s="22">
        <f>'[81]Arc Results'!$I$114</f>
        <v>250.8030888030888</v>
      </c>
      <c r="AF32" s="22">
        <f>'[81]Arc Results'!$I$125</f>
        <v>282.70463320463318</v>
      </c>
      <c r="AG32" s="22">
        <f>'[81]Arc Results'!$I$147</f>
        <v>2863.6534749034749</v>
      </c>
      <c r="AH32" s="22">
        <f>'[81]Arc Results'!$I$158</f>
        <v>3260.3465250965255</v>
      </c>
      <c r="AI32" s="22">
        <f>'[81]Arc Results'!$I$213</f>
        <v>4761.5102725827965</v>
      </c>
      <c r="AJ32" s="22">
        <f>'[81]Arc Results'!$I$224</f>
        <v>5060.135135135135</v>
      </c>
      <c r="AK32" s="22">
        <f>'[81]Arc Results'!$I$180</f>
        <v>3063</v>
      </c>
      <c r="AL32" s="22">
        <f>'[81]Arc Results'!$I$191</f>
        <v>3067</v>
      </c>
      <c r="AM32" s="22">
        <f>'[81]Arc Results'!$I$81</f>
        <v>3621.7582046332045</v>
      </c>
      <c r="AN32" s="22">
        <f>'[81]Arc Results'!$I$81</f>
        <v>3621.7582046332045</v>
      </c>
      <c r="AP32" s="9">
        <f t="shared" si="10"/>
        <v>1.1835760324659825</v>
      </c>
      <c r="AQ32" s="9">
        <f t="shared" si="11"/>
        <v>1.1134889900705074</v>
      </c>
      <c r="AR32" s="9">
        <f t="shared" si="12"/>
        <v>1.0597958437817749</v>
      </c>
      <c r="AS32" s="9">
        <f t="shared" si="13"/>
        <v>1.0647767880785517</v>
      </c>
      <c r="AT32" s="9">
        <f t="shared" si="14"/>
        <v>1.0304047692780354</v>
      </c>
      <c r="AU32" s="9">
        <f t="shared" si="15"/>
        <v>1.000652528548124</v>
      </c>
      <c r="AV32" s="9">
        <f t="shared" si="16"/>
        <v>1</v>
      </c>
    </row>
    <row r="33" spans="1:48" ht="15.75">
      <c r="A33">
        <f t="shared" si="17"/>
        <v>29</v>
      </c>
      <c r="B33" s="9">
        <v>2020</v>
      </c>
      <c r="C33" s="9" t="s">
        <v>89</v>
      </c>
      <c r="D33" s="9" t="s">
        <v>5</v>
      </c>
      <c r="E33" s="7" t="s">
        <v>6</v>
      </c>
      <c r="F33" s="20" t="s">
        <v>77</v>
      </c>
      <c r="G33" s="7" t="s">
        <v>8</v>
      </c>
      <c r="H33" s="7" t="s">
        <v>9</v>
      </c>
      <c r="I33" s="9" t="s">
        <v>45</v>
      </c>
      <c r="J33" s="9">
        <v>500</v>
      </c>
      <c r="K33" s="9">
        <v>0.8</v>
      </c>
      <c r="L33" s="21">
        <f>'[82]Arc Results'!$I$10960+'[82]Arc Results'!$I$10971+'[82]Arc Results'!$I$10982+'[82]Arc Results'!$I$10993+'[82]Arc Results'!$I$11004+'[82]Arc Results'!$I$11015+'[82]Arc Results'!$I$11026+'[82]Arc Results'!$I$11037+'[82]Arc Results'!$I$11048+'[82]Arc Results'!$I$11059+'[82]Arc Results'!$I$11070+'[82]Arc Results'!$I$11081+'[82]Arc Results'!$I$11092+'[82]Arc Results'!$I$11103+'[82]Arc Results'!$I$11114+'[82]Arc Results'!$I$11125+'[82]Arc Results'!$I$11136+'[82]Arc Results'!$I$11147+'[82]Arc Results'!$I$11158+'[82]Arc Results'!$I$11169+'[82]Arc Results'!$I$11180+'[82]Arc Results'!$I$11191+'[82]Arc Results'!$I$11202+'[82]Arc Results'!$I$11213+'[82]Arc Results'!$I$11224+'[82]Arc Results'!$I$11235+'[82]Arc Results'!$I$11246+'[82]Arc Results'!$I$11257+'[82]Arc Results'!$I$11268</f>
        <v>3487.5445650965326</v>
      </c>
      <c r="M33" s="21">
        <f>'[82]Arc Results'!$I$257</f>
        <v>6165.6514285714356</v>
      </c>
      <c r="N33" s="21">
        <f t="shared" ref="N33" si="36">SUM(AG33:AH33)</f>
        <v>5648.2046332046339</v>
      </c>
      <c r="O33" s="21">
        <f t="shared" ref="O33" si="37">SUM(AI33:AJ33)</f>
        <v>11504.000000000007</v>
      </c>
      <c r="P33" s="22">
        <f t="shared" ref="P33" si="38">SUM(AM33:AN33)</f>
        <v>6371.6776061776063</v>
      </c>
      <c r="Q33" s="22">
        <f t="shared" ref="Q33" si="39">SUM(AC33:AD33)</f>
        <v>1809.1633249420761</v>
      </c>
      <c r="R33" s="22">
        <f t="shared" ref="R33" si="40">SUM(AE33:AF33)</f>
        <v>501.6061776061776</v>
      </c>
      <c r="S33" s="22">
        <f t="shared" ref="S33" si="41">SUM(AA33:AB33)</f>
        <v>462.16216216216208</v>
      </c>
      <c r="T33" s="22">
        <f t="shared" ref="T33" si="42">SUM(AK33:AL33)</f>
        <v>6130</v>
      </c>
      <c r="U33" s="39" t="str">
        <f>[82]Log!$K$2</f>
        <v>300.030.251,95</v>
      </c>
      <c r="V33" s="39" t="str">
        <f>[82]Log!$J$2</f>
        <v>47.021.195,86</v>
      </c>
      <c r="W33" s="39" t="str">
        <f>[82]Log!$N$2</f>
        <v>71.948.395,79</v>
      </c>
      <c r="X33" s="23">
        <f t="shared" ref="X33" si="43">SUM(U33:W33)</f>
        <v>0</v>
      </c>
      <c r="Y33" s="22"/>
      <c r="Z33" s="24">
        <f t="shared" ref="Z33" si="44">M33+N33+O33+P33+Q33+R33+S33+T33</f>
        <v>38592.465332664098</v>
      </c>
      <c r="AA33" s="22">
        <f>'[82]Arc Results'!$I$15</f>
        <v>184.86486486486484</v>
      </c>
      <c r="AB33" s="22">
        <f>'[82]Arc Results'!$I$26</f>
        <v>277.29729729729723</v>
      </c>
      <c r="AC33" s="22">
        <f>'[82]Arc Results'!$I$48</f>
        <v>761.81853281853284</v>
      </c>
      <c r="AD33" s="22">
        <f>'[82]Arc Results'!$I$59</f>
        <v>1047.3447921235434</v>
      </c>
      <c r="AE33" s="22">
        <f>'[82]Arc Results'!$I$114</f>
        <v>238.04247104247105</v>
      </c>
      <c r="AF33" s="22">
        <f>'[82]Arc Results'!$I$125</f>
        <v>263.56370656370655</v>
      </c>
      <c r="AG33" s="22">
        <f>'[82]Arc Results'!$I$147</f>
        <v>2808.2818532818533</v>
      </c>
      <c r="AH33" s="22">
        <f>'[82]Arc Results'!$I$158</f>
        <v>2839.9227799227801</v>
      </c>
      <c r="AI33" s="22">
        <f>'[82]Arc Results'!$I$213</f>
        <v>5176.8000000000056</v>
      </c>
      <c r="AJ33" s="22">
        <f>'[82]Arc Results'!$I$224</f>
        <v>6327.2000000000007</v>
      </c>
      <c r="AK33" s="22">
        <f>'[82]Arc Results'!$I$180</f>
        <v>3063</v>
      </c>
      <c r="AL33" s="22">
        <f>'[82]Arc Results'!$I$191</f>
        <v>3067</v>
      </c>
      <c r="AM33" s="22">
        <f>'[82]Arc Results'!$I$81</f>
        <v>3185.8388030888032</v>
      </c>
      <c r="AN33" s="22">
        <f>'[82]Arc Results'!$I$81</f>
        <v>3185.8388030888032</v>
      </c>
      <c r="AP33" s="9">
        <f t="shared" si="10"/>
        <v>1.2</v>
      </c>
      <c r="AQ33" s="9">
        <f t="shared" si="11"/>
        <v>1.1578222680996213</v>
      </c>
      <c r="AR33" s="9">
        <f t="shared" si="12"/>
        <v>1.0508790295267711</v>
      </c>
      <c r="AS33" s="9">
        <f t="shared" si="13"/>
        <v>1.0056019441036035</v>
      </c>
      <c r="AT33" s="9">
        <f t="shared" si="14"/>
        <v>1.0999999999999994</v>
      </c>
      <c r="AU33" s="9">
        <f t="shared" si="15"/>
        <v>1.000652528548124</v>
      </c>
      <c r="AV33" s="9">
        <f t="shared" si="16"/>
        <v>1</v>
      </c>
    </row>
    <row r="34" spans="1:48" ht="15.75">
      <c r="A34">
        <f t="shared" si="17"/>
        <v>30</v>
      </c>
      <c r="B34" s="9">
        <v>2020</v>
      </c>
      <c r="C34" s="9" t="s">
        <v>89</v>
      </c>
      <c r="D34" s="9" t="s">
        <v>5</v>
      </c>
      <c r="E34" s="7" t="s">
        <v>6</v>
      </c>
      <c r="F34" s="20" t="s">
        <v>78</v>
      </c>
      <c r="G34" s="7" t="s">
        <v>8</v>
      </c>
      <c r="H34" s="7" t="s">
        <v>9</v>
      </c>
      <c r="I34" s="9" t="s">
        <v>45</v>
      </c>
      <c r="J34" s="9">
        <v>500</v>
      </c>
      <c r="K34" s="9">
        <v>0.8</v>
      </c>
      <c r="L34" s="21">
        <f>'[83]Arc Results'!$I$10960+'[83]Arc Results'!$I$10971+'[83]Arc Results'!$I$10982+'[83]Arc Results'!$I$10993+'[83]Arc Results'!$I$11004+'[83]Arc Results'!$I$11015+'[83]Arc Results'!$I$11026+'[83]Arc Results'!$I$11037+'[83]Arc Results'!$I$11048+'[83]Arc Results'!$I$11059+'[83]Arc Results'!$I$11070+'[83]Arc Results'!$I$11081+'[83]Arc Results'!$I$11092+'[83]Arc Results'!$I$11103+'[83]Arc Results'!$I$11114+'[83]Arc Results'!$I$11125+'[83]Arc Results'!$I$11136+'[83]Arc Results'!$I$11147+'[83]Arc Results'!$I$11158+'[83]Arc Results'!$I$11169+'[83]Arc Results'!$I$11180+'[83]Arc Results'!$I$11191+'[83]Arc Results'!$I$11202+'[83]Arc Results'!$I$11213+'[83]Arc Results'!$I$11224+'[83]Arc Results'!$I$11235+'[83]Arc Results'!$I$11246+'[83]Arc Results'!$I$11257+'[83]Arc Results'!$I$11268</f>
        <v>3724.2513218532872</v>
      </c>
      <c r="M34" s="21">
        <f>'[83]Arc Results'!$I$257</f>
        <v>6165.6514285714411</v>
      </c>
      <c r="N34" s="21">
        <f t="shared" ref="N34" si="45">SUM(AG34:AH34)</f>
        <v>5553.2818532818528</v>
      </c>
      <c r="O34" s="21">
        <f t="shared" ref="O34" si="46">SUM(AI34:AJ34)</f>
        <v>8609.4762013899599</v>
      </c>
      <c r="P34" s="22">
        <f t="shared" ref="P34" si="47">SUM(AM34:AN34)</f>
        <v>10089.000000000004</v>
      </c>
      <c r="Q34" s="22">
        <f t="shared" ref="Q34" si="48">SUM(AC34:AD34)</f>
        <v>1101.1708494208494</v>
      </c>
      <c r="R34" s="22">
        <f t="shared" ref="R34" si="49">SUM(AE34:AF34)</f>
        <v>425.04247104247099</v>
      </c>
      <c r="S34" s="22">
        <f t="shared" ref="S34" si="50">SUM(AA34:AB34)</f>
        <v>184.86486486486484</v>
      </c>
      <c r="T34" s="22">
        <f t="shared" ref="T34" si="51">SUM(AK34:AL34)</f>
        <v>6130</v>
      </c>
      <c r="U34" s="39" t="str">
        <f>[83]Log!$K$2</f>
        <v>302.550.591,69</v>
      </c>
      <c r="V34" s="39" t="str">
        <f>[83]Log!$J$2</f>
        <v>47.021.195,86</v>
      </c>
      <c r="W34" s="39" t="str">
        <f>[83]Log!$N$2</f>
        <v>71.948.395,79</v>
      </c>
      <c r="X34" s="23">
        <f t="shared" ref="X34" si="52">SUM(U34:W34)</f>
        <v>0</v>
      </c>
      <c r="Y34" s="22"/>
      <c r="Z34" s="24">
        <f t="shared" ref="Z34" si="53">M34+N34+O34+P34+Q34+R34+S34+T34</f>
        <v>38258.487668571441</v>
      </c>
      <c r="AA34" s="22">
        <f>'[83]Arc Results'!$I$15</f>
        <v>46.21621621621621</v>
      </c>
      <c r="AB34" s="22">
        <f>'[83]Arc Results'!$I$26</f>
        <v>138.64864864864862</v>
      </c>
      <c r="AC34" s="22">
        <f>'[83]Arc Results'!$I$48</f>
        <v>399.70463320463318</v>
      </c>
      <c r="AD34" s="22">
        <f>'[83]Arc Results'!$I$59</f>
        <v>701.46621621621625</v>
      </c>
      <c r="AE34" s="22">
        <f>'[83]Arc Results'!$I$114</f>
        <v>199.76061776061775</v>
      </c>
      <c r="AF34" s="22">
        <f>'[83]Arc Results'!$I$125</f>
        <v>225.28185328185327</v>
      </c>
      <c r="AG34" s="22">
        <f>'[83]Arc Results'!$I$147</f>
        <v>2760.8204633204632</v>
      </c>
      <c r="AH34" s="22">
        <f>'[83]Arc Results'!$I$158</f>
        <v>2792.4613899613901</v>
      </c>
      <c r="AI34" s="22">
        <f>'[83]Arc Results'!$I$213</f>
        <v>4141.3513513513517</v>
      </c>
      <c r="AJ34" s="22">
        <f>'[83]Arc Results'!$I$224</f>
        <v>4468.1248500386082</v>
      </c>
      <c r="AK34" s="22">
        <f>'[83]Arc Results'!$I$180</f>
        <v>3063</v>
      </c>
      <c r="AL34" s="22">
        <f>'[83]Arc Results'!$I$191</f>
        <v>3067</v>
      </c>
      <c r="AM34" s="22">
        <f>'[83]Arc Results'!$I$81</f>
        <v>5044.5000000000018</v>
      </c>
      <c r="AN34" s="22">
        <f>'[83]Arc Results'!$I$81</f>
        <v>5044.5000000000018</v>
      </c>
      <c r="AP34" s="9">
        <f t="shared" si="10"/>
        <v>1.4999999999999998</v>
      </c>
      <c r="AQ34" s="9">
        <f t="shared" si="11"/>
        <v>1.2740370244728978</v>
      </c>
      <c r="AR34" s="9">
        <f t="shared" si="12"/>
        <v>1.0600439656268736</v>
      </c>
      <c r="AS34" s="9">
        <f t="shared" si="13"/>
        <v>1.0056976986720436</v>
      </c>
      <c r="AT34" s="9">
        <f t="shared" si="14"/>
        <v>1.0379550963430855</v>
      </c>
      <c r="AU34" s="9">
        <f t="shared" si="15"/>
        <v>1.000652528548124</v>
      </c>
      <c r="AV34" s="9">
        <f t="shared" si="16"/>
        <v>1</v>
      </c>
    </row>
    <row r="35" spans="1:48" ht="15.75">
      <c r="A35">
        <f t="shared" si="17"/>
        <v>31</v>
      </c>
      <c r="B35" s="9">
        <v>2020</v>
      </c>
      <c r="C35" s="9" t="s">
        <v>89</v>
      </c>
      <c r="D35" s="9" t="s">
        <v>5</v>
      </c>
      <c r="E35" s="7" t="s">
        <v>6</v>
      </c>
      <c r="F35" s="20" t="s">
        <v>79</v>
      </c>
      <c r="G35" s="7" t="s">
        <v>8</v>
      </c>
      <c r="H35" s="7" t="s">
        <v>9</v>
      </c>
      <c r="I35" s="9" t="s">
        <v>45</v>
      </c>
      <c r="J35" s="9">
        <v>500</v>
      </c>
      <c r="K35" s="9">
        <v>0.8</v>
      </c>
      <c r="L35" s="21">
        <f>'[84]Arc Results'!$I$10960+'[84]Arc Results'!$I$10971+'[84]Arc Results'!$I$10982+'[84]Arc Results'!$I$10993+'[84]Arc Results'!$I$11004+'[84]Arc Results'!$I$11015+'[84]Arc Results'!$I$11026+'[84]Arc Results'!$I$11037+'[84]Arc Results'!$I$11048+'[84]Arc Results'!$I$11059+'[84]Arc Results'!$I$11070+'[84]Arc Results'!$I$11081+'[84]Arc Results'!$I$11092+'[84]Arc Results'!$I$11103+'[84]Arc Results'!$I$11114+'[84]Arc Results'!$I$11125+'[84]Arc Results'!$I$11136+'[84]Arc Results'!$I$11147+'[84]Arc Results'!$I$11158+'[84]Arc Results'!$I$11169+'[84]Arc Results'!$I$11180+'[84]Arc Results'!$I$11191+'[84]Arc Results'!$I$11202+'[84]Arc Results'!$I$11213+'[84]Arc Results'!$I$11224+'[84]Arc Results'!$I$11235+'[84]Arc Results'!$I$11246+'[84]Arc Results'!$I$11257+'[84]Arc Results'!$I$11268</f>
        <v>3935.8572143629358</v>
      </c>
      <c r="M35" s="21">
        <f>'[84]Arc Results'!$I$257</f>
        <v>6165.6514285714275</v>
      </c>
      <c r="N35" s="21">
        <f t="shared" ref="N35" si="54">SUM(AG35:AH35)</f>
        <v>5703.5762548262555</v>
      </c>
      <c r="O35" s="21">
        <f t="shared" ref="O35" si="55">SUM(AI35:AJ35)</f>
        <v>9908.2432432432433</v>
      </c>
      <c r="P35" s="22">
        <f t="shared" ref="P35" si="56">SUM(AM35:AN35)</f>
        <v>7243.516409266409</v>
      </c>
      <c r="Q35" s="22">
        <f t="shared" ref="Q35" si="57">SUM(AC35:AD35)</f>
        <v>2199.0001374476633</v>
      </c>
      <c r="R35" s="22">
        <f t="shared" ref="R35" si="58">SUM(AE35:AF35)</f>
        <v>546.26833976833973</v>
      </c>
      <c r="S35" s="22">
        <f t="shared" ref="S35" si="59">SUM(AA35:AB35)</f>
        <v>670</v>
      </c>
      <c r="T35" s="22">
        <f t="shared" ref="T35" si="60">SUM(AK35:AL35)</f>
        <v>6130</v>
      </c>
      <c r="U35" s="39" t="str">
        <f>[84]Log!$K$2</f>
        <v>324.981.277,45</v>
      </c>
      <c r="V35" s="39" t="str">
        <f>[84]Log!$J$2</f>
        <v>47.021.195,86</v>
      </c>
      <c r="W35" s="39" t="str">
        <f>[84]Log!$N$2</f>
        <v>71.948.395,79</v>
      </c>
      <c r="X35" s="23">
        <f t="shared" ref="X35" si="61">SUM(U35:W35)</f>
        <v>0</v>
      </c>
      <c r="Y35" s="22"/>
      <c r="Z35" s="24">
        <f t="shared" ref="Z35" si="62">M35+N35+O35+P35+Q35+R35+S35+T35</f>
        <v>38566.255813123338</v>
      </c>
      <c r="AA35" s="22">
        <f>'[84]Arc Results'!$I$15</f>
        <v>335</v>
      </c>
      <c r="AB35" s="22">
        <f>'[84]Arc Results'!$I$26</f>
        <v>335</v>
      </c>
      <c r="AC35" s="22">
        <f>'[84]Arc Results'!$I$48</f>
        <v>954.3630718105976</v>
      </c>
      <c r="AD35" s="22">
        <f>'[84]Arc Results'!$I$59</f>
        <v>1244.6370656370657</v>
      </c>
      <c r="AE35" s="22">
        <f>'[84]Arc Results'!$I$114</f>
        <v>257.18339768339769</v>
      </c>
      <c r="AF35" s="22">
        <f>'[84]Arc Results'!$I$125</f>
        <v>289.0849420849421</v>
      </c>
      <c r="AG35" s="22">
        <f>'[84]Arc Results'!$I$147</f>
        <v>2832.0125482625485</v>
      </c>
      <c r="AH35" s="22">
        <f>'[84]Arc Results'!$I$158</f>
        <v>2871.5637065637065</v>
      </c>
      <c r="AI35" s="22">
        <f>'[84]Arc Results'!$I$213</f>
        <v>4777.4324324324325</v>
      </c>
      <c r="AJ35" s="22">
        <f>'[84]Arc Results'!$I$224</f>
        <v>5130.8108108108108</v>
      </c>
      <c r="AK35" s="22">
        <f>'[84]Arc Results'!$I$180</f>
        <v>3063</v>
      </c>
      <c r="AL35" s="22">
        <f>'[84]Arc Results'!$I$191</f>
        <v>3067</v>
      </c>
      <c r="AM35" s="22">
        <f>'[84]Arc Results'!$I$81</f>
        <v>3621.7582046332045</v>
      </c>
      <c r="AN35" s="22">
        <f>'[84]Arc Results'!$I$81</f>
        <v>3621.7582046332045</v>
      </c>
      <c r="AP35" s="9">
        <f t="shared" si="10"/>
        <v>1</v>
      </c>
      <c r="AQ35" s="9">
        <f t="shared" si="11"/>
        <v>1.1320027174547536</v>
      </c>
      <c r="AR35" s="9">
        <f t="shared" si="12"/>
        <v>1.0583990359299849</v>
      </c>
      <c r="AS35" s="9">
        <f t="shared" si="13"/>
        <v>1.0069344489376626</v>
      </c>
      <c r="AT35" s="9">
        <f t="shared" si="14"/>
        <v>1.0356650891286261</v>
      </c>
      <c r="AU35" s="9">
        <f t="shared" si="15"/>
        <v>1.000652528548124</v>
      </c>
      <c r="AV35" s="9">
        <f t="shared" si="16"/>
        <v>1</v>
      </c>
    </row>
    <row r="36" spans="1:48" ht="15.75">
      <c r="A36">
        <f t="shared" si="17"/>
        <v>32</v>
      </c>
      <c r="B36" s="9">
        <v>2020</v>
      </c>
      <c r="C36" s="9" t="s">
        <v>89</v>
      </c>
      <c r="D36" s="9" t="s">
        <v>5</v>
      </c>
      <c r="E36" s="7" t="s">
        <v>6</v>
      </c>
      <c r="F36" s="20" t="s">
        <v>80</v>
      </c>
      <c r="G36" s="7" t="s">
        <v>8</v>
      </c>
      <c r="H36" s="7" t="s">
        <v>9</v>
      </c>
      <c r="I36" s="9" t="s">
        <v>45</v>
      </c>
      <c r="J36" s="9">
        <v>500</v>
      </c>
      <c r="K36" s="9">
        <v>0.8</v>
      </c>
      <c r="L36" s="21">
        <f>'[85]Arc Results'!$I$10960+'[85]Arc Results'!$I$10971+'[85]Arc Results'!$I$10982+'[85]Arc Results'!$I$10993+'[85]Arc Results'!$I$11004+'[85]Arc Results'!$I$11015+'[85]Arc Results'!$I$11026+'[85]Arc Results'!$I$11037+'[85]Arc Results'!$I$11048+'[85]Arc Results'!$I$11059+'[85]Arc Results'!$I$11070+'[85]Arc Results'!$I$11081+'[85]Arc Results'!$I$11092+'[85]Arc Results'!$I$11103+'[85]Arc Results'!$I$11114+'[85]Arc Results'!$I$11125+'[85]Arc Results'!$I$11136+'[85]Arc Results'!$I$11147+'[85]Arc Results'!$I$11158+'[85]Arc Results'!$I$11169+'[85]Arc Results'!$I$11180+'[85]Arc Results'!$I$11191+'[85]Arc Results'!$I$11202+'[85]Arc Results'!$I$11213+'[85]Arc Results'!$I$11224+'[85]Arc Results'!$I$11235+'[85]Arc Results'!$I$11246+'[85]Arc Results'!$I$11257+'[85]Arc Results'!$I$11268</f>
        <v>3881.5261332818554</v>
      </c>
      <c r="M36" s="21">
        <f>'[85]Arc Results'!$I$257</f>
        <v>6165.6514285714438</v>
      </c>
      <c r="N36" s="21">
        <f t="shared" ref="N36" si="63">SUM(AG36:AH36)</f>
        <v>5671.9353281853282</v>
      </c>
      <c r="O36" s="21">
        <f t="shared" ref="O36" si="64">SUM(AI36:AJ36)</f>
        <v>9625.54054054054</v>
      </c>
      <c r="P36" s="22">
        <f t="shared" ref="P36" si="65">SUM(AM36:AN36)</f>
        <v>6791.9183487258679</v>
      </c>
      <c r="Q36" s="22">
        <f t="shared" ref="Q36" si="66">SUM(AC36:AD36)</f>
        <v>3220</v>
      </c>
      <c r="R36" s="22">
        <f t="shared" ref="R36" si="67">SUM(AE36:AF36)</f>
        <v>520.74710424710429</v>
      </c>
      <c r="S36" s="22">
        <f t="shared" ref="S36" si="68">SUM(AA36:AB36)</f>
        <v>531.48648648648646</v>
      </c>
      <c r="T36" s="22">
        <f t="shared" ref="T36" si="69">SUM(AK36:AL36)</f>
        <v>6130</v>
      </c>
      <c r="U36" s="39" t="str">
        <f>[85]Log!$K$2</f>
        <v>319.032.589,59</v>
      </c>
      <c r="V36" s="39" t="str">
        <f>[85]Log!$J$2</f>
        <v>47.021.195,86</v>
      </c>
      <c r="W36" s="39" t="str">
        <f>[85]Log!$N$2</f>
        <v>71.948.395,79</v>
      </c>
      <c r="X36" s="23">
        <f t="shared" ref="X36" si="70">SUM(U36:W36)</f>
        <v>0</v>
      </c>
      <c r="Y36" s="22"/>
      <c r="Z36" s="24">
        <f t="shared" ref="Z36" si="71">M36+N36+O36+P36+Q36+R36+S36+T36</f>
        <v>38657.279236756774</v>
      </c>
      <c r="AA36" s="22">
        <f>'[85]Arc Results'!$I$15</f>
        <v>207.97297297297294</v>
      </c>
      <c r="AB36" s="22">
        <f>'[85]Arc Results'!$I$26</f>
        <v>323.51351351351349</v>
      </c>
      <c r="AC36" s="22">
        <f>'[85]Arc Results'!$I$48</f>
        <v>1448.9999999999995</v>
      </c>
      <c r="AD36" s="22">
        <f>'[85]Arc Results'!$I$59</f>
        <v>1771.0000000000002</v>
      </c>
      <c r="AE36" s="22">
        <f>'[85]Arc Results'!$I$114</f>
        <v>244.42277992277991</v>
      </c>
      <c r="AF36" s="22">
        <f>'[85]Arc Results'!$I$125</f>
        <v>276.32432432432432</v>
      </c>
      <c r="AG36" s="22">
        <f>'[85]Arc Results'!$I$147</f>
        <v>2816.1920849420849</v>
      </c>
      <c r="AH36" s="22">
        <f>'[85]Arc Results'!$I$158</f>
        <v>2855.7432432432433</v>
      </c>
      <c r="AI36" s="22">
        <f>'[85]Arc Results'!$I$213</f>
        <v>4636.0810810810808</v>
      </c>
      <c r="AJ36" s="22">
        <f>'[85]Arc Results'!$I$224</f>
        <v>4989.4594594594591</v>
      </c>
      <c r="AK36" s="22">
        <f>'[85]Arc Results'!$I$180</f>
        <v>3063</v>
      </c>
      <c r="AL36" s="22">
        <f>'[85]Arc Results'!$I$191</f>
        <v>3067.0000000000005</v>
      </c>
      <c r="AM36" s="22">
        <f>'[85]Arc Results'!$I$81</f>
        <v>3395.9591743629339</v>
      </c>
      <c r="AN36" s="22">
        <f>'[85]Arc Results'!$I$81</f>
        <v>3395.9591743629339</v>
      </c>
      <c r="AP36" s="9">
        <f t="shared" si="10"/>
        <v>1.2173913043478262</v>
      </c>
      <c r="AQ36" s="9">
        <f t="shared" si="11"/>
        <v>1.1000000000000001</v>
      </c>
      <c r="AR36" s="9">
        <f t="shared" si="12"/>
        <v>1.0612611076304832</v>
      </c>
      <c r="AS36" s="9">
        <f t="shared" si="13"/>
        <v>1.0069731328043567</v>
      </c>
      <c r="AT36" s="9">
        <f t="shared" si="14"/>
        <v>1.0367125749343666</v>
      </c>
      <c r="AU36" s="9">
        <f t="shared" si="15"/>
        <v>1.000652528548124</v>
      </c>
      <c r="AV36" s="9">
        <f t="shared" si="16"/>
        <v>1</v>
      </c>
    </row>
    <row r="37" spans="1:48" ht="15.75">
      <c r="A37">
        <f t="shared" si="17"/>
        <v>33</v>
      </c>
      <c r="B37" s="9">
        <v>2020</v>
      </c>
      <c r="C37" s="9" t="s">
        <v>89</v>
      </c>
      <c r="D37" s="9" t="s">
        <v>5</v>
      </c>
      <c r="E37" s="7" t="s">
        <v>6</v>
      </c>
      <c r="F37" s="20" t="s">
        <v>81</v>
      </c>
      <c r="G37" s="7" t="s">
        <v>8</v>
      </c>
      <c r="H37" s="7" t="s">
        <v>9</v>
      </c>
      <c r="I37" s="9" t="s">
        <v>45</v>
      </c>
      <c r="J37" s="9">
        <v>500</v>
      </c>
      <c r="K37" s="9">
        <v>0.8</v>
      </c>
      <c r="L37" s="21">
        <f>'[86]Arc Results'!$I$10960+'[86]Arc Results'!$I$10971+'[86]Arc Results'!$I$10982+'[86]Arc Results'!$I$10993+'[86]Arc Results'!$I$11004+'[86]Arc Results'!$I$11015+'[86]Arc Results'!$I$11026+'[86]Arc Results'!$I$11037+'[86]Arc Results'!$I$11048+'[86]Arc Results'!$I$11059+'[86]Arc Results'!$I$11070+'[86]Arc Results'!$I$11081+'[86]Arc Results'!$I$11092+'[86]Arc Results'!$I$11103+'[86]Arc Results'!$I$11114+'[86]Arc Results'!$I$11125+'[86]Arc Results'!$I$11136+'[86]Arc Results'!$I$11147+'[86]Arc Results'!$I$11158+'[86]Arc Results'!$I$11169+'[86]Arc Results'!$I$11180+'[86]Arc Results'!$I$11191+'[86]Arc Results'!$I$11202+'[86]Arc Results'!$I$11213+'[86]Arc Results'!$I$11224+'[86]Arc Results'!$I$11235+'[86]Arc Results'!$I$11246+'[86]Arc Results'!$I$11257+'[86]Arc Results'!$I$11268</f>
        <v>3922.0754166836132</v>
      </c>
      <c r="M37" s="21">
        <f>'[86]Arc Results'!$I$257</f>
        <v>6165.6514285714411</v>
      </c>
      <c r="N37" s="21">
        <f t="shared" ref="N37" si="72">SUM(AG37:AH37)</f>
        <v>5695.6660231660235</v>
      </c>
      <c r="O37" s="21">
        <f t="shared" ref="O37" si="73">SUM(AI37:AJ37)</f>
        <v>9908.2432432432433</v>
      </c>
      <c r="P37" s="22">
        <f t="shared" ref="P37" si="74">SUM(AM37:AN37)</f>
        <v>7243.516409266409</v>
      </c>
      <c r="Q37" s="22">
        <f t="shared" ref="Q37" si="75">SUM(AC37:AD37)</f>
        <v>2161.9895196870457</v>
      </c>
      <c r="R37" s="22">
        <f t="shared" ref="R37" si="76">SUM(AE37:AF37)</f>
        <v>671.99999999999977</v>
      </c>
      <c r="S37" s="22">
        <f t="shared" ref="S37" si="77">SUM(AA37:AB37)</f>
        <v>589.18918918918916</v>
      </c>
      <c r="T37" s="22">
        <f t="shared" ref="T37" si="78">SUM(AK37:AL37)</f>
        <v>6130</v>
      </c>
      <c r="U37" s="39" t="str">
        <f>[86]Log!$K$2</f>
        <v>325.078.311,58</v>
      </c>
      <c r="V37" s="39" t="str">
        <f>[86]Log!$J$2</f>
        <v>47.021.195,86</v>
      </c>
      <c r="W37" s="39" t="str">
        <f>[86]Log!$N$2</f>
        <v>71.948.395,79</v>
      </c>
      <c r="X37" s="23">
        <f t="shared" ref="X37" si="79">SUM(U37:W37)</f>
        <v>0</v>
      </c>
      <c r="Y37" s="22"/>
      <c r="Z37" s="24">
        <f t="shared" ref="Z37" si="80">M37+N37+O37+P37+Q37+R37+S37+T37</f>
        <v>38566.255813123353</v>
      </c>
      <c r="AA37" s="22">
        <f>'[86]Arc Results'!$I$15</f>
        <v>254.18918918918914</v>
      </c>
      <c r="AB37" s="22">
        <f>'[86]Arc Results'!$I$26</f>
        <v>335</v>
      </c>
      <c r="AC37" s="22">
        <f>'[86]Arc Results'!$I$48</f>
        <v>942.87548262548262</v>
      </c>
      <c r="AD37" s="22">
        <f>'[86]Arc Results'!$I$59</f>
        <v>1219.1140370615631</v>
      </c>
      <c r="AE37" s="22">
        <f>'[86]Arc Results'!$I$114</f>
        <v>335.69999999999982</v>
      </c>
      <c r="AF37" s="22">
        <f>'[86]Arc Results'!$I$125</f>
        <v>336.3</v>
      </c>
      <c r="AG37" s="22">
        <f>'[86]Arc Results'!$I$147</f>
        <v>2832.0125482625485</v>
      </c>
      <c r="AH37" s="22">
        <f>'[86]Arc Results'!$I$158</f>
        <v>2863.6534749034749</v>
      </c>
      <c r="AI37" s="22">
        <f>'[86]Arc Results'!$I$213</f>
        <v>4777.4324324324325</v>
      </c>
      <c r="AJ37" s="22">
        <f>'[86]Arc Results'!$I$224</f>
        <v>5130.8108108108108</v>
      </c>
      <c r="AK37" s="22">
        <f>'[86]Arc Results'!$I$180</f>
        <v>3063</v>
      </c>
      <c r="AL37" s="22">
        <f>'[86]Arc Results'!$I$191</f>
        <v>3067</v>
      </c>
      <c r="AM37" s="22">
        <f>'[86]Arc Results'!$I$81</f>
        <v>3621.7582046332045</v>
      </c>
      <c r="AN37" s="22">
        <f>'[86]Arc Results'!$I$81</f>
        <v>3621.7582046332045</v>
      </c>
      <c r="AP37" s="9">
        <f t="shared" si="10"/>
        <v>1.1371559633027524</v>
      </c>
      <c r="AQ37" s="9">
        <f t="shared" si="11"/>
        <v>1.1277705335389723</v>
      </c>
      <c r="AR37" s="9">
        <f t="shared" si="12"/>
        <v>1.0008928571428575</v>
      </c>
      <c r="AS37" s="9">
        <f t="shared" si="13"/>
        <v>1.0055552636886069</v>
      </c>
      <c r="AT37" s="9">
        <f t="shared" si="14"/>
        <v>1.0356650891286261</v>
      </c>
      <c r="AU37" s="9">
        <f t="shared" si="15"/>
        <v>1.000652528548124</v>
      </c>
      <c r="AV37" s="9">
        <f t="shared" si="16"/>
        <v>1</v>
      </c>
    </row>
    <row r="38" spans="1:48" ht="15.75">
      <c r="A38">
        <f t="shared" si="17"/>
        <v>34</v>
      </c>
      <c r="B38" s="9">
        <v>2020</v>
      </c>
      <c r="C38" s="9" t="s">
        <v>89</v>
      </c>
      <c r="D38" s="9" t="s">
        <v>5</v>
      </c>
      <c r="E38" s="7" t="s">
        <v>6</v>
      </c>
      <c r="F38" s="20" t="s">
        <v>82</v>
      </c>
      <c r="G38" s="7" t="s">
        <v>8</v>
      </c>
      <c r="H38" s="7" t="s">
        <v>9</v>
      </c>
      <c r="I38" s="9" t="s">
        <v>45</v>
      </c>
      <c r="J38" s="9">
        <v>500</v>
      </c>
      <c r="K38" s="9">
        <v>0.8</v>
      </c>
      <c r="L38" s="21">
        <f>'[87]Arc Results'!$I$10960+'[87]Arc Results'!$I$10971+'[87]Arc Results'!$I$10982+'[87]Arc Results'!$I$10993+'[87]Arc Results'!$I$11004+'[87]Arc Results'!$I$11015+'[87]Arc Results'!$I$11026+'[87]Arc Results'!$I$11037+'[87]Arc Results'!$I$11048+'[87]Arc Results'!$I$11059+'[87]Arc Results'!$I$11070+'[87]Arc Results'!$I$11081+'[87]Arc Results'!$I$11092+'[87]Arc Results'!$I$11103+'[87]Arc Results'!$I$11114+'[87]Arc Results'!$I$11125+'[87]Arc Results'!$I$11136+'[87]Arc Results'!$I$11147+'[87]Arc Results'!$I$11158+'[87]Arc Results'!$I$11169+'[87]Arc Results'!$I$11180+'[87]Arc Results'!$I$11191+'[87]Arc Results'!$I$11202+'[87]Arc Results'!$I$11213+'[87]Arc Results'!$I$11224+'[87]Arc Results'!$I$11235+'[87]Arc Results'!$I$11246+'[87]Arc Results'!$I$11257+'[87]Arc Results'!$I$11268</f>
        <v>4062.3691425523375</v>
      </c>
      <c r="M38" s="21">
        <f>'[87]Arc Results'!$I$257</f>
        <v>6165.6514285714075</v>
      </c>
      <c r="N38" s="21">
        <f t="shared" ref="N38" si="81">SUM(AG38:AH38)</f>
        <v>5490</v>
      </c>
      <c r="O38" s="21">
        <f t="shared" ref="O38" si="82">SUM(AI38:AJ38)</f>
        <v>9978.9189189189201</v>
      </c>
      <c r="P38" s="22">
        <f t="shared" ref="P38" si="83">SUM(AM38:AN38)</f>
        <v>7534.1293436293436</v>
      </c>
      <c r="Q38" s="22">
        <f t="shared" ref="Q38" si="84">SUM(AC38:AD38)</f>
        <v>2247.864864864865</v>
      </c>
      <c r="R38" s="22">
        <f t="shared" ref="R38" si="85">SUM(AE38:AF38)</f>
        <v>552.64864864864865</v>
      </c>
      <c r="S38" s="22">
        <f t="shared" ref="S38" si="86">SUM(AA38:AB38)</f>
        <v>612.29729729729729</v>
      </c>
      <c r="T38" s="22">
        <f t="shared" ref="T38" si="87">SUM(AK38:AL38)</f>
        <v>6130</v>
      </c>
      <c r="U38" s="39" t="str">
        <f>[87]Log!$K$2</f>
        <v>339.569.195,49</v>
      </c>
      <c r="V38" s="39" t="str">
        <f>[87]Log!$J$2</f>
        <v>47.021.195,86</v>
      </c>
      <c r="W38" s="39" t="str">
        <f>[87]Log!$N$2</f>
        <v>71.948.395,79</v>
      </c>
      <c r="X38" s="23">
        <f t="shared" ref="X38" si="88">SUM(U38:W38)</f>
        <v>0</v>
      </c>
      <c r="Y38" s="22"/>
      <c r="Z38" s="24">
        <f t="shared" ref="Z38" si="89">M38+N38+O38+P38+Q38+R38+S38+T38</f>
        <v>38711.510501930483</v>
      </c>
      <c r="AA38" s="22">
        <f>'[87]Arc Results'!$I$15</f>
        <v>277.29729729729723</v>
      </c>
      <c r="AB38" s="22">
        <f>'[87]Arc Results'!$I$26</f>
        <v>335</v>
      </c>
      <c r="AC38" s="22">
        <f>'[87]Arc Results'!$I$48</f>
        <v>1003.2277992277992</v>
      </c>
      <c r="AD38" s="22">
        <f>'[87]Arc Results'!$I$59</f>
        <v>1244.6370656370657</v>
      </c>
      <c r="AE38" s="22">
        <f>'[87]Arc Results'!$I$114</f>
        <v>263.56370656370655</v>
      </c>
      <c r="AF38" s="22">
        <f>'[87]Arc Results'!$I$125</f>
        <v>289.0849420849421</v>
      </c>
      <c r="AG38" s="22">
        <f>'[87]Arc Results'!$I$147</f>
        <v>2745</v>
      </c>
      <c r="AH38" s="22">
        <f>'[87]Arc Results'!$I$158</f>
        <v>2745</v>
      </c>
      <c r="AI38" s="22">
        <f>'[87]Arc Results'!$I$213</f>
        <v>4848.1081081081084</v>
      </c>
      <c r="AJ38" s="22">
        <f>'[87]Arc Results'!$I$224</f>
        <v>5130.8108108108108</v>
      </c>
      <c r="AK38" s="22">
        <f>'[87]Arc Results'!$I$180</f>
        <v>3063</v>
      </c>
      <c r="AL38" s="22">
        <f>'[87]Arc Results'!$I$191</f>
        <v>3067</v>
      </c>
      <c r="AM38" s="22">
        <f>'[87]Arc Results'!$I$81</f>
        <v>3767.0646718146718</v>
      </c>
      <c r="AN38" s="22">
        <f>'[87]Arc Results'!$I$81</f>
        <v>3767.0646718146718</v>
      </c>
      <c r="AP38" s="9">
        <f t="shared" si="10"/>
        <v>1.0942396821893621</v>
      </c>
      <c r="AQ38" s="9">
        <f t="shared" si="11"/>
        <v>1.1073949195890738</v>
      </c>
      <c r="AR38" s="9">
        <f t="shared" si="12"/>
        <v>1.0461798569192935</v>
      </c>
      <c r="AS38" s="9">
        <f t="shared" si="13"/>
        <v>1</v>
      </c>
      <c r="AT38" s="9">
        <f t="shared" si="14"/>
        <v>1.0283299929581278</v>
      </c>
      <c r="AU38" s="9">
        <f t="shared" si="15"/>
        <v>1.000652528548124</v>
      </c>
      <c r="AV38" s="9">
        <f t="shared" si="16"/>
        <v>1</v>
      </c>
    </row>
    <row r="39" spans="1:48" ht="15.75">
      <c r="A39">
        <f t="shared" si="17"/>
        <v>35</v>
      </c>
      <c r="B39" s="9">
        <v>2020</v>
      </c>
      <c r="C39" s="9" t="s">
        <v>89</v>
      </c>
      <c r="D39" s="9" t="s">
        <v>5</v>
      </c>
      <c r="E39" s="7" t="s">
        <v>6</v>
      </c>
      <c r="F39" s="20" t="s">
        <v>83</v>
      </c>
      <c r="G39" s="7" t="s">
        <v>8</v>
      </c>
      <c r="H39" s="7" t="s">
        <v>9</v>
      </c>
      <c r="I39" s="9" t="s">
        <v>45</v>
      </c>
      <c r="J39" s="9">
        <v>500</v>
      </c>
      <c r="K39" s="9">
        <v>0.8</v>
      </c>
      <c r="L39" s="21">
        <f>'[88]Arc Results'!$I$10960+'[88]Arc Results'!$I$10971+'[88]Arc Results'!$I$10982+'[88]Arc Results'!$I$10993+'[88]Arc Results'!$I$11004+'[88]Arc Results'!$I$11015+'[88]Arc Results'!$I$11026+'[88]Arc Results'!$I$11037+'[88]Arc Results'!$I$11048+'[88]Arc Results'!$I$11059+'[88]Arc Results'!$I$11070+'[88]Arc Results'!$I$11081+'[88]Arc Results'!$I$11092+'[88]Arc Results'!$I$11103+'[88]Arc Results'!$I$11114+'[88]Arc Results'!$I$11125+'[88]Arc Results'!$I$11136+'[88]Arc Results'!$I$11147+'[88]Arc Results'!$I$11158+'[88]Arc Results'!$I$11169+'[88]Arc Results'!$I$11180+'[88]Arc Results'!$I$11191+'[88]Arc Results'!$I$11202+'[88]Arc Results'!$I$11213+'[88]Arc Results'!$I$11224+'[88]Arc Results'!$I$11235+'[88]Arc Results'!$I$11246+'[88]Arc Results'!$I$11257+'[88]Arc Results'!$I$11268</f>
        <v>4127.9743314800517</v>
      </c>
      <c r="M39" s="21">
        <f>'[88]Arc Results'!$I$257</f>
        <v>6165.6514285714429</v>
      </c>
      <c r="N39" s="21">
        <f t="shared" ref="N39" si="90">SUM(AG39:AH39)</f>
        <v>5766.8581081081084</v>
      </c>
      <c r="O39" s="21">
        <f t="shared" ref="O39" si="91">SUM(AI39:AJ39)</f>
        <v>8058.8963963963961</v>
      </c>
      <c r="P39" s="22">
        <f t="shared" ref="P39" si="92">SUM(AM39:AN39)</f>
        <v>8608.4478295928766</v>
      </c>
      <c r="Q39" s="22">
        <f t="shared" ref="Q39" si="93">SUM(AC39:AD39)</f>
        <v>2670.3310810810808</v>
      </c>
      <c r="R39" s="22">
        <f t="shared" ref="R39" si="94">SUM(AE39:AF39)</f>
        <v>597.31081081081084</v>
      </c>
      <c r="S39" s="22">
        <f t="shared" ref="S39" si="95">SUM(AA39:AB39)</f>
        <v>670</v>
      </c>
      <c r="T39" s="22">
        <f t="shared" ref="T39" si="96">SUM(AK39:AL39)</f>
        <v>6130</v>
      </c>
      <c r="U39" s="39" t="str">
        <f>[88]Log!$K$2</f>
        <v>347.376.844,85</v>
      </c>
      <c r="V39" s="39" t="str">
        <f>[88]Log!$J$2</f>
        <v>47.021.195,86</v>
      </c>
      <c r="W39" s="39" t="str">
        <f>[88]Log!$N$2</f>
        <v>71.948.395,79</v>
      </c>
      <c r="X39" s="23">
        <f t="shared" ref="X39" si="97">SUM(U39:W39)</f>
        <v>0</v>
      </c>
      <c r="Y39" s="22"/>
      <c r="Z39" s="24">
        <f t="shared" ref="Z39" si="98">M39+N39+O39+P39+Q39+R39+S39+T39</f>
        <v>38667.495654560713</v>
      </c>
      <c r="AA39" s="22">
        <f>'[88]Arc Results'!$I$15</f>
        <v>334.99999999999994</v>
      </c>
      <c r="AB39" s="22">
        <f>'[88]Arc Results'!$I$26</f>
        <v>335</v>
      </c>
      <c r="AC39" s="22">
        <f>'[88]Arc Results'!$I$48</f>
        <v>1184.284749034749</v>
      </c>
      <c r="AD39" s="22">
        <f>'[88]Arc Results'!$I$59</f>
        <v>1486.0463320463321</v>
      </c>
      <c r="AE39" s="22">
        <f>'[88]Arc Results'!$I$114</f>
        <v>282.70463320463318</v>
      </c>
      <c r="AF39" s="22">
        <f>'[88]Arc Results'!$I$125</f>
        <v>314.6061776061776</v>
      </c>
      <c r="AG39" s="22">
        <f>'[88]Arc Results'!$I$147</f>
        <v>2863.6534749034749</v>
      </c>
      <c r="AH39" s="22">
        <f>'[88]Arc Results'!$I$158</f>
        <v>2903.2046332046334</v>
      </c>
      <c r="AI39" s="22">
        <f>'[88]Arc Results'!$I$213</f>
        <v>4000</v>
      </c>
      <c r="AJ39" s="22">
        <f>'[88]Arc Results'!$I$224</f>
        <v>4058.8963963963965</v>
      </c>
      <c r="AK39" s="22">
        <f>'[88]Arc Results'!$I$180</f>
        <v>3063</v>
      </c>
      <c r="AL39" s="22">
        <f>'[88]Arc Results'!$I$191</f>
        <v>3067</v>
      </c>
      <c r="AM39" s="22">
        <f>'[88]Arc Results'!$I$81</f>
        <v>4304.2239147964383</v>
      </c>
      <c r="AN39" s="22">
        <f>'[88]Arc Results'!$I$81</f>
        <v>4304.2239147964383</v>
      </c>
      <c r="AP39" s="9">
        <f t="shared" si="10"/>
        <v>1</v>
      </c>
      <c r="AQ39" s="9">
        <f t="shared" si="11"/>
        <v>1.1130053067761978</v>
      </c>
      <c r="AR39" s="9">
        <f t="shared" si="12"/>
        <v>1.0534086171288948</v>
      </c>
      <c r="AS39" s="9">
        <f t="shared" si="13"/>
        <v>1.0068583546811305</v>
      </c>
      <c r="AT39" s="9">
        <f t="shared" si="14"/>
        <v>1.0073082458812515</v>
      </c>
      <c r="AU39" s="9">
        <f t="shared" si="15"/>
        <v>1.000652528548124</v>
      </c>
      <c r="AV39" s="9">
        <f t="shared" si="16"/>
        <v>1</v>
      </c>
    </row>
    <row r="40" spans="1:48" ht="15.75">
      <c r="A40">
        <f t="shared" si="17"/>
        <v>36</v>
      </c>
      <c r="B40" s="9">
        <v>2020</v>
      </c>
      <c r="C40" s="9" t="s">
        <v>89</v>
      </c>
      <c r="D40" s="9" t="s">
        <v>5</v>
      </c>
      <c r="E40" s="7" t="s">
        <v>6</v>
      </c>
      <c r="F40" s="20" t="s">
        <v>84</v>
      </c>
      <c r="G40" s="7" t="s">
        <v>8</v>
      </c>
      <c r="H40" s="7" t="s">
        <v>9</v>
      </c>
      <c r="I40" s="9" t="s">
        <v>45</v>
      </c>
      <c r="J40" s="9">
        <v>500</v>
      </c>
      <c r="K40" s="9">
        <v>0.8</v>
      </c>
      <c r="L40" s="21">
        <f>'[89]Arc Results'!$I$10960+'[89]Arc Results'!$I$10971+'[89]Arc Results'!$I$10982+'[89]Arc Results'!$I$10993+'[89]Arc Results'!$I$11004+'[89]Arc Results'!$I$11015+'[89]Arc Results'!$I$11026+'[89]Arc Results'!$I$11037+'[89]Arc Results'!$I$11048+'[89]Arc Results'!$I$11059+'[89]Arc Results'!$I$11070+'[89]Arc Results'!$I$11081+'[89]Arc Results'!$I$11092+'[89]Arc Results'!$I$11103+'[89]Arc Results'!$I$11114+'[89]Arc Results'!$I$11125+'[89]Arc Results'!$I$11136+'[89]Arc Results'!$I$11147+'[89]Arc Results'!$I$11158+'[89]Arc Results'!$I$11169+'[89]Arc Results'!$I$11180+'[89]Arc Results'!$I$11191+'[89]Arc Results'!$I$11202+'[89]Arc Results'!$I$11213+'[89]Arc Results'!$I$11224+'[89]Arc Results'!$I$11235+'[89]Arc Results'!$I$11246+'[89]Arc Results'!$I$11257+'[89]Arc Results'!$I$11268</f>
        <v>3577.1305412612587</v>
      </c>
      <c r="M40" s="21">
        <f>'[89]Arc Results'!$I$257</f>
        <v>6165.6514285714229</v>
      </c>
      <c r="N40" s="21">
        <f t="shared" ref="N40" si="99">SUM(AG40:AH40)</f>
        <v>6124.0000000000018</v>
      </c>
      <c r="O40" s="21">
        <f t="shared" ref="O40" si="100">SUM(AI40:AJ40)</f>
        <v>11503.999999999991</v>
      </c>
      <c r="P40" s="22">
        <f t="shared" ref="P40" si="101">SUM(AM40:AN40)</f>
        <v>4628</v>
      </c>
      <c r="Q40" s="22">
        <f t="shared" ref="Q40" si="102">SUM(AC40:AD40)</f>
        <v>3190.8137153112489</v>
      </c>
      <c r="R40" s="22">
        <f t="shared" ref="R40" si="103">SUM(AE40:AF40)</f>
        <v>638.14555984555977</v>
      </c>
      <c r="S40" s="22">
        <f t="shared" ref="S40" si="104">SUM(AA40:AB40)</f>
        <v>670</v>
      </c>
      <c r="T40" s="22">
        <f t="shared" ref="T40" si="105">SUM(AK40:AL40)</f>
        <v>6130</v>
      </c>
      <c r="U40" s="39" t="str">
        <f>[89]Log!$K$2</f>
        <v>341.745.371,09</v>
      </c>
      <c r="V40" s="39" t="str">
        <f>[89]Log!$J$2</f>
        <v>47.021.195,86</v>
      </c>
      <c r="W40" s="39" t="str">
        <f>[89]Log!$N$2</f>
        <v>71.948.395,79</v>
      </c>
      <c r="X40" s="23">
        <f t="shared" ref="X40" si="106">SUM(U40:W40)</f>
        <v>0</v>
      </c>
      <c r="Y40" s="22"/>
      <c r="Z40" s="24">
        <f t="shared" ref="Z40" si="107">M40+N40+O40+P40+Q40+R40+S40+T40</f>
        <v>39050.61070372822</v>
      </c>
      <c r="AA40" s="22">
        <f>'[89]Arc Results'!$I$15</f>
        <v>335</v>
      </c>
      <c r="AB40" s="22">
        <f>'[89]Arc Results'!$I$26</f>
        <v>335</v>
      </c>
      <c r="AC40" s="22">
        <f>'[89]Arc Results'!$I$48</f>
        <v>1419.8137153112486</v>
      </c>
      <c r="AD40" s="22">
        <f>'[89]Arc Results'!$I$59</f>
        <v>1771.0000000000002</v>
      </c>
      <c r="AE40" s="22">
        <f>'[89]Arc Results'!$I$114</f>
        <v>301.84555984555982</v>
      </c>
      <c r="AF40" s="22">
        <f>'[89]Arc Results'!$I$125</f>
        <v>336.3</v>
      </c>
      <c r="AG40" s="22">
        <f>'[89]Arc Results'!$I$147</f>
        <v>2871.5637065637065</v>
      </c>
      <c r="AH40" s="22">
        <f>'[89]Arc Results'!$I$158</f>
        <v>3252.4362934362948</v>
      </c>
      <c r="AI40" s="22">
        <f>'[89]Arc Results'!$I$213</f>
        <v>5176.7999999999902</v>
      </c>
      <c r="AJ40" s="22">
        <f>'[89]Arc Results'!$I$224</f>
        <v>6327.2000000000007</v>
      </c>
      <c r="AK40" s="22">
        <f>'[89]Arc Results'!$I$180</f>
        <v>3063</v>
      </c>
      <c r="AL40" s="22">
        <f>'[89]Arc Results'!$I$191</f>
        <v>3067</v>
      </c>
      <c r="AM40" s="22">
        <f>'[89]Arc Results'!$I$81</f>
        <v>2314</v>
      </c>
      <c r="AN40" s="22">
        <f>'[89]Arc Results'!$I$81</f>
        <v>2314</v>
      </c>
      <c r="AP40" s="9">
        <f t="shared" si="10"/>
        <v>1</v>
      </c>
      <c r="AQ40" s="9">
        <f t="shared" si="11"/>
        <v>1.1100616695370118</v>
      </c>
      <c r="AR40" s="9">
        <f t="shared" si="12"/>
        <v>1.0539915065189496</v>
      </c>
      <c r="AS40" s="9">
        <f t="shared" si="13"/>
        <v>1.0621934335193643</v>
      </c>
      <c r="AT40" s="9">
        <f t="shared" si="14"/>
        <v>1.100000000000001</v>
      </c>
      <c r="AU40" s="9">
        <f t="shared" si="15"/>
        <v>1.000652528548124</v>
      </c>
      <c r="AV40" s="9">
        <f t="shared" si="16"/>
        <v>1</v>
      </c>
    </row>
    <row r="41" spans="1:48" ht="15.75">
      <c r="A41">
        <f t="shared" si="17"/>
        <v>37</v>
      </c>
      <c r="B41" s="9">
        <v>2020</v>
      </c>
      <c r="C41" s="9" t="s">
        <v>89</v>
      </c>
      <c r="D41" s="9" t="s">
        <v>5</v>
      </c>
      <c r="E41" s="7" t="s">
        <v>6</v>
      </c>
      <c r="F41" s="20" t="s">
        <v>85</v>
      </c>
      <c r="G41" s="7" t="s">
        <v>8</v>
      </c>
      <c r="H41" s="7" t="s">
        <v>9</v>
      </c>
      <c r="I41" s="9" t="s">
        <v>45</v>
      </c>
      <c r="J41" s="9">
        <v>500</v>
      </c>
      <c r="K41" s="9">
        <v>0.8</v>
      </c>
      <c r="L41" s="21">
        <f>'[90]Arc Results'!$I$10960+'[90]Arc Results'!$I$10971+'[90]Arc Results'!$I$10982+'[90]Arc Results'!$I$10993+'[90]Arc Results'!$I$11004+'[90]Arc Results'!$I$11015+'[90]Arc Results'!$I$11026+'[90]Arc Results'!$I$11037+'[90]Arc Results'!$I$11048+'[90]Arc Results'!$I$11059+'[90]Arc Results'!$I$11070+'[90]Arc Results'!$I$11081+'[90]Arc Results'!$I$11092+'[90]Arc Results'!$I$11103+'[90]Arc Results'!$I$11114+'[90]Arc Results'!$I$11125+'[90]Arc Results'!$I$11136+'[90]Arc Results'!$I$11147+'[90]Arc Results'!$I$11158+'[90]Arc Results'!$I$11169+'[90]Arc Results'!$I$11180+'[90]Arc Results'!$I$11191+'[90]Arc Results'!$I$11202+'[90]Arc Results'!$I$11213+'[90]Arc Results'!$I$11224+'[90]Arc Results'!$I$11235+'[90]Arc Results'!$I$11246+'[90]Arc Results'!$I$11257+'[90]Arc Results'!$I$11268</f>
        <v>3980.2322143629399</v>
      </c>
      <c r="M41" s="21">
        <f>'[90]Arc Results'!$I$257</f>
        <v>6165.6514285714175</v>
      </c>
      <c r="N41" s="21">
        <f t="shared" ref="N41" si="108">SUM(AG41:AH41)</f>
        <v>5719.3967181467178</v>
      </c>
      <c r="O41" s="21">
        <f t="shared" ref="O41" si="109">SUM(AI41:AJ41)</f>
        <v>10049.594594594595</v>
      </c>
      <c r="P41" s="22">
        <f t="shared" ref="P41" si="110">SUM(AM41:AN41)</f>
        <v>7629.2640901239729</v>
      </c>
      <c r="Q41" s="22">
        <f t="shared" ref="Q41" si="111">SUM(AC41:AD41)</f>
        <v>2360.8873974049829</v>
      </c>
      <c r="R41" s="22">
        <f t="shared" ref="R41" si="112">SUM(AE41:AF41)</f>
        <v>559.02895752895756</v>
      </c>
      <c r="S41" s="22">
        <f t="shared" ref="S41" si="113">SUM(AA41:AB41)</f>
        <v>0</v>
      </c>
      <c r="T41" s="22">
        <f t="shared" ref="T41" si="114">SUM(AK41:AL41)</f>
        <v>6130</v>
      </c>
      <c r="U41" s="39" t="str">
        <f>[90]Log!$K$2</f>
        <v>327.213.824,12</v>
      </c>
      <c r="V41" s="39" t="str">
        <f>[90]Log!$J$2</f>
        <v>47.021.195,86</v>
      </c>
      <c r="W41" s="39" t="str">
        <f>[90]Log!$N$2</f>
        <v>71.948.395,79</v>
      </c>
      <c r="X41" s="23">
        <f t="shared" ref="X41" si="115">SUM(U41:W41)</f>
        <v>0</v>
      </c>
      <c r="Y41" s="22"/>
      <c r="Z41" s="24">
        <f t="shared" ref="Z41" si="116">M41+N41+O41+P41+Q41+R41+S41+T41</f>
        <v>38613.823186370646</v>
      </c>
      <c r="AA41" s="22">
        <f>'[90]Arc Results'!$I$15</f>
        <v>0</v>
      </c>
      <c r="AB41" s="22">
        <f>'[90]Arc Results'!$I$26</f>
        <v>0</v>
      </c>
      <c r="AC41" s="22">
        <f>'[90]Arc Results'!$I$48</f>
        <v>1055.8980151656008</v>
      </c>
      <c r="AD41" s="22">
        <f>'[90]Arc Results'!$I$59</f>
        <v>1304.9893822393822</v>
      </c>
      <c r="AE41" s="22">
        <f>'[90]Arc Results'!$I$114</f>
        <v>263.56370656370655</v>
      </c>
      <c r="AF41" s="22">
        <f>'[90]Arc Results'!$I$125</f>
        <v>295.46525096525096</v>
      </c>
      <c r="AG41" s="22">
        <f>'[90]Arc Results'!$I$147</f>
        <v>2839.9227799227801</v>
      </c>
      <c r="AH41" s="22">
        <f>'[90]Arc Results'!$I$158</f>
        <v>2879.4739382239381</v>
      </c>
      <c r="AI41" s="22">
        <f>'[90]Arc Results'!$I$213</f>
        <v>4848.1081081081084</v>
      </c>
      <c r="AJ41" s="22">
        <f>'[90]Arc Results'!$I$224</f>
        <v>5201.4864864864867</v>
      </c>
      <c r="AK41" s="22">
        <f>'[90]Arc Results'!$I$180</f>
        <v>3063</v>
      </c>
      <c r="AL41" s="22">
        <f>'[90]Arc Results'!$I$191</f>
        <v>3067</v>
      </c>
      <c r="AM41" s="22">
        <f>'[90]Arc Results'!$I$81</f>
        <v>3814.6320450619864</v>
      </c>
      <c r="AN41" s="22">
        <f>'[90]Arc Results'!$I$81</f>
        <v>3814.6320450619864</v>
      </c>
      <c r="AP41" s="9" t="e">
        <f t="shared" si="10"/>
        <v>#DIV/0!</v>
      </c>
      <c r="AQ41" s="9">
        <f t="shared" si="11"/>
        <v>1.1055075169394251</v>
      </c>
      <c r="AR41" s="9">
        <f t="shared" si="12"/>
        <v>1.0570659962635154</v>
      </c>
      <c r="AS41" s="9">
        <f t="shared" si="13"/>
        <v>1.0069152675098878</v>
      </c>
      <c r="AT41" s="9">
        <f t="shared" si="14"/>
        <v>1.0351634461521912</v>
      </c>
      <c r="AU41" s="9">
        <f t="shared" si="15"/>
        <v>1.000652528548124</v>
      </c>
      <c r="AV41" s="9">
        <f t="shared" si="16"/>
        <v>1</v>
      </c>
    </row>
    <row r="42" spans="1:48" ht="15.75">
      <c r="A42">
        <f t="shared" si="17"/>
        <v>38</v>
      </c>
      <c r="B42" s="9">
        <v>2020</v>
      </c>
      <c r="C42" s="9" t="s">
        <v>89</v>
      </c>
      <c r="D42" s="9" t="s">
        <v>5</v>
      </c>
      <c r="E42" s="7" t="s">
        <v>6</v>
      </c>
      <c r="F42" s="7" t="s">
        <v>86</v>
      </c>
      <c r="G42" s="7" t="s">
        <v>8</v>
      </c>
      <c r="H42" s="7" t="s">
        <v>9</v>
      </c>
      <c r="I42" s="9" t="s">
        <v>45</v>
      </c>
      <c r="J42" s="9">
        <v>500</v>
      </c>
      <c r="K42" s="9">
        <v>0.8</v>
      </c>
      <c r="L42" s="21">
        <f>'[91]Arc Results'!$I$10960+'[91]Arc Results'!$I$10971+'[91]Arc Results'!$I$10982+'[91]Arc Results'!$I$10993+'[91]Arc Results'!$I$11004+'[91]Arc Results'!$I$11015+'[91]Arc Results'!$I$11026+'[91]Arc Results'!$I$11037+'[91]Arc Results'!$I$11048+'[91]Arc Results'!$I$11059+'[91]Arc Results'!$I$11070+'[91]Arc Results'!$I$11081+'[91]Arc Results'!$I$11092+'[91]Arc Results'!$I$11103+'[91]Arc Results'!$I$11114+'[91]Arc Results'!$I$11125+'[91]Arc Results'!$I$11136+'[91]Arc Results'!$I$11147+'[91]Arc Results'!$I$11158+'[91]Arc Results'!$I$11169+'[91]Arc Results'!$I$11180+'[91]Arc Results'!$I$11191+'[91]Arc Results'!$I$11202+'[91]Arc Results'!$I$11213+'[91]Arc Results'!$I$11224+'[91]Arc Results'!$I$11235+'[91]Arc Results'!$I$11246+'[91]Arc Results'!$I$11257+'[91]Arc Results'!$I$11268</f>
        <v>4181.5848761430716</v>
      </c>
      <c r="M42" s="21">
        <f>'[91]Arc Results'!$I$257</f>
        <v>6165.6514285714411</v>
      </c>
      <c r="N42" s="21">
        <f t="shared" ref="N42" si="117">SUM(AG42:AH42)</f>
        <v>5758.9478764478772</v>
      </c>
      <c r="O42" s="21">
        <f t="shared" ref="O42" si="118">SUM(AI42:AJ42)</f>
        <v>10402.972972972973</v>
      </c>
      <c r="P42" s="22">
        <f t="shared" ref="P42" si="119">SUM(AM42:AN42)</f>
        <v>8405.9681467181472</v>
      </c>
      <c r="Q42" s="22">
        <f t="shared" ref="Q42" si="120">SUM(AC42:AD42)</f>
        <v>587.09135366388068</v>
      </c>
      <c r="R42" s="22">
        <f t="shared" ref="R42" si="121">SUM(AE42:AF42)</f>
        <v>590.93050193050192</v>
      </c>
      <c r="S42" s="22">
        <f t="shared" ref="S42" si="122">SUM(AA42:AB42)</f>
        <v>670</v>
      </c>
      <c r="T42" s="22">
        <f t="shared" ref="T42" si="123">SUM(AK42:AL42)</f>
        <v>6130</v>
      </c>
      <c r="U42" s="39" t="str">
        <f>[91]Log!$K$2</f>
        <v>329.604.019,80</v>
      </c>
      <c r="V42" s="39" t="str">
        <f>[91]Log!$J$2</f>
        <v>47.021.195,86</v>
      </c>
      <c r="W42" s="39" t="str">
        <f>[91]Log!$N$2</f>
        <v>71.948.395,79</v>
      </c>
      <c r="X42" s="23">
        <f t="shared" ref="X42" si="124">SUM(U42:W42)</f>
        <v>0</v>
      </c>
      <c r="Y42" s="22"/>
      <c r="Z42" s="24">
        <f t="shared" ref="Z42" si="125">M42+N42+O42+P42+Q42+R42+S42+T42</f>
        <v>38711.562280304817</v>
      </c>
      <c r="AA42" s="22">
        <f>'[91]Arc Results'!$I$15</f>
        <v>335</v>
      </c>
      <c r="AB42" s="22">
        <f>'[91]Arc Results'!$I$26</f>
        <v>335</v>
      </c>
      <c r="AC42" s="22">
        <f>'[91]Arc Results'!$I$48</f>
        <v>279</v>
      </c>
      <c r="AD42" s="22">
        <f>'[91]Arc Results'!$I$59</f>
        <v>308.09135366388062</v>
      </c>
      <c r="AE42" s="22">
        <f>'[91]Arc Results'!$I$114</f>
        <v>282.70463320463318</v>
      </c>
      <c r="AF42" s="22">
        <f>'[91]Arc Results'!$I$125</f>
        <v>308.22586872586874</v>
      </c>
      <c r="AG42" s="22">
        <f>'[91]Arc Results'!$I$147</f>
        <v>2863.6534749034749</v>
      </c>
      <c r="AH42" s="22">
        <f>'[91]Arc Results'!$I$158</f>
        <v>2895.2944015444018</v>
      </c>
      <c r="AI42" s="22">
        <f>'[91]Arc Results'!$I$213</f>
        <v>5060.135135135135</v>
      </c>
      <c r="AJ42" s="22">
        <f>'[91]Arc Results'!$I$224</f>
        <v>5342.8378378378375</v>
      </c>
      <c r="AK42" s="22">
        <f>'[91]Arc Results'!$I$180</f>
        <v>3063</v>
      </c>
      <c r="AL42" s="22">
        <f>'[91]Arc Results'!$I$191</f>
        <v>3067</v>
      </c>
      <c r="AM42" s="22">
        <f>'[91]Arc Results'!$I$81</f>
        <v>4202.9840733590736</v>
      </c>
      <c r="AN42" s="22">
        <f>'[91]Arc Results'!$I$81</f>
        <v>4202.9840733590736</v>
      </c>
      <c r="AP42" s="9">
        <f t="shared" si="10"/>
        <v>1</v>
      </c>
      <c r="AQ42" s="9">
        <f t="shared" si="11"/>
        <v>1.0495516642892613</v>
      </c>
      <c r="AR42" s="9">
        <f t="shared" si="12"/>
        <v>1.0431882183063161</v>
      </c>
      <c r="AS42" s="9">
        <f t="shared" si="13"/>
        <v>1.0054942200068049</v>
      </c>
      <c r="AT42" s="9">
        <f t="shared" si="14"/>
        <v>1.027175183809202</v>
      </c>
      <c r="AU42" s="9">
        <f t="shared" si="15"/>
        <v>1.000652528548124</v>
      </c>
      <c r="AV42" s="9">
        <f t="shared" si="16"/>
        <v>1</v>
      </c>
    </row>
    <row r="43" spans="1:48" ht="15.75">
      <c r="A43">
        <f t="shared" si="17"/>
        <v>39</v>
      </c>
      <c r="B43" s="9">
        <v>2020</v>
      </c>
      <c r="C43" s="9" t="s">
        <v>89</v>
      </c>
      <c r="D43" s="9" t="s">
        <v>5</v>
      </c>
      <c r="E43" s="7" t="s">
        <v>6</v>
      </c>
      <c r="F43" s="20" t="s">
        <v>87</v>
      </c>
      <c r="G43" s="7" t="s">
        <v>8</v>
      </c>
      <c r="H43" s="7" t="s">
        <v>9</v>
      </c>
      <c r="I43" s="9" t="s">
        <v>45</v>
      </c>
      <c r="J43" s="9">
        <v>500</v>
      </c>
      <c r="K43" s="9">
        <v>0.8</v>
      </c>
      <c r="L43" s="21">
        <f>'[92]Arc Results'!$I$10960+'[92]Arc Results'!$I$10971+'[92]Arc Results'!$I$10982+'[92]Arc Results'!$I$10993+'[92]Arc Results'!$I$11004+'[92]Arc Results'!$I$11015+'[92]Arc Results'!$I$11026+'[92]Arc Results'!$I$11037+'[92]Arc Results'!$I$11048+'[92]Arc Results'!$I$11059+'[92]Arc Results'!$I$11070+'[92]Arc Results'!$I$11081+'[92]Arc Results'!$I$11092+'[92]Arc Results'!$I$11103+'[92]Arc Results'!$I$11114+'[92]Arc Results'!$I$11125+'[92]Arc Results'!$I$11136+'[92]Arc Results'!$I$11147+'[92]Arc Results'!$I$11158+'[92]Arc Results'!$I$11169+'[92]Arc Results'!$I$11180+'[92]Arc Results'!$I$11191+'[92]Arc Results'!$I$11202+'[92]Arc Results'!$I$11213+'[92]Arc Results'!$I$11224+'[92]Arc Results'!$I$11235+'[92]Arc Results'!$I$11246+'[92]Arc Results'!$I$11257+'[92]Arc Results'!$I$11268</f>
        <v>4037.942156447878</v>
      </c>
      <c r="M43" s="21">
        <f>'[92]Arc Results'!$I$257</f>
        <v>6165.6514285714429</v>
      </c>
      <c r="N43" s="21">
        <f t="shared" ref="N43" si="126">SUM(AG43:AH43)</f>
        <v>5703.5762548262555</v>
      </c>
      <c r="O43" s="21">
        <f t="shared" ref="O43" si="127">SUM(AI43:AJ43)</f>
        <v>9967.1511992237265</v>
      </c>
      <c r="P43" s="22">
        <f t="shared" ref="P43" si="128">SUM(AM43:AN43)</f>
        <v>7534.1293436293436</v>
      </c>
      <c r="Q43" s="22">
        <f t="shared" ref="Q43" si="129">SUM(AC43:AD43)</f>
        <v>2247.864864864865</v>
      </c>
      <c r="R43" s="22">
        <f t="shared" ref="R43" si="130">SUM(AE43:AF43)</f>
        <v>374.00000000000074</v>
      </c>
      <c r="S43" s="22">
        <f t="shared" ref="S43" si="131">SUM(AA43:AB43)</f>
        <v>589.18918918918916</v>
      </c>
      <c r="T43" s="22">
        <f t="shared" ref="T43" si="132">SUM(AK43:AL43)</f>
        <v>6130</v>
      </c>
      <c r="U43" s="39" t="str">
        <f>[92]Log!$K$2</f>
        <v>327.620.435,81</v>
      </c>
      <c r="V43" s="39" t="str">
        <f>[92]Log!$J$2</f>
        <v>47.021.195,86</v>
      </c>
      <c r="W43" s="39" t="str">
        <f>[92]Log!$N$2</f>
        <v>71.948.395,79</v>
      </c>
      <c r="X43" s="23">
        <f t="shared" ref="X43" si="133">SUM(U43:W43)</f>
        <v>0</v>
      </c>
      <c r="Y43" s="22"/>
      <c r="Z43" s="24">
        <f t="shared" ref="Z43" si="134">M43+N43+O43+P43+Q43+R43+S43+T43</f>
        <v>38711.562280304817</v>
      </c>
      <c r="AA43" s="22">
        <f>'[92]Arc Results'!$I$15</f>
        <v>254.18918918918914</v>
      </c>
      <c r="AB43" s="22">
        <f>'[92]Arc Results'!$I$26</f>
        <v>335</v>
      </c>
      <c r="AC43" s="22">
        <f>'[92]Arc Results'!$I$48</f>
        <v>1003.2277992277992</v>
      </c>
      <c r="AD43" s="22">
        <f>'[92]Arc Results'!$I$59</f>
        <v>1244.6370656370657</v>
      </c>
      <c r="AE43" s="22">
        <f>'[92]Arc Results'!$I$114</f>
        <v>187</v>
      </c>
      <c r="AF43" s="22">
        <f>'[92]Arc Results'!$I$125</f>
        <v>187.00000000000074</v>
      </c>
      <c r="AG43" s="22">
        <f>'[92]Arc Results'!$I$147</f>
        <v>2832.0125482625485</v>
      </c>
      <c r="AH43" s="22">
        <f>'[92]Arc Results'!$I$158</f>
        <v>2871.5637065637065</v>
      </c>
      <c r="AI43" s="22">
        <f>'[92]Arc Results'!$I$213</f>
        <v>4836.3403884129157</v>
      </c>
      <c r="AJ43" s="22">
        <f>'[92]Arc Results'!$I$224</f>
        <v>5130.8108108108108</v>
      </c>
      <c r="AK43" s="22">
        <f>'[92]Arc Results'!$I$180</f>
        <v>3063</v>
      </c>
      <c r="AL43" s="22">
        <f>'[92]Arc Results'!$I$191</f>
        <v>3067</v>
      </c>
      <c r="AM43" s="22">
        <f>'[92]Arc Results'!$I$81</f>
        <v>3767.0646718146718</v>
      </c>
      <c r="AN43" s="22">
        <f>'[92]Arc Results'!$I$81</f>
        <v>3767.0646718146718</v>
      </c>
      <c r="AP43" s="9">
        <f t="shared" si="10"/>
        <v>1.1371559633027524</v>
      </c>
      <c r="AQ43" s="9">
        <f t="shared" si="11"/>
        <v>1.1073949195890738</v>
      </c>
      <c r="AR43" s="9">
        <f t="shared" si="12"/>
        <v>1.000000000000002</v>
      </c>
      <c r="AS43" s="9">
        <f t="shared" si="13"/>
        <v>1.0069344489376626</v>
      </c>
      <c r="AT43" s="9">
        <f t="shared" si="14"/>
        <v>1.0295440910358449</v>
      </c>
      <c r="AU43" s="9">
        <f t="shared" si="15"/>
        <v>1.000652528548124</v>
      </c>
      <c r="AV43" s="9">
        <f t="shared" si="16"/>
        <v>1</v>
      </c>
    </row>
    <row r="44" spans="1:48" ht="15.75">
      <c r="A44">
        <f t="shared" si="17"/>
        <v>40</v>
      </c>
      <c r="B44" s="9">
        <v>2020</v>
      </c>
      <c r="C44" s="9" t="s">
        <v>89</v>
      </c>
      <c r="D44" s="9" t="s">
        <v>88</v>
      </c>
      <c r="E44" s="7" t="s">
        <v>6</v>
      </c>
      <c r="F44" s="20" t="s">
        <v>7</v>
      </c>
      <c r="G44" s="7" t="s">
        <v>8</v>
      </c>
      <c r="H44" s="7" t="s">
        <v>9</v>
      </c>
      <c r="I44" s="9" t="s">
        <v>45</v>
      </c>
      <c r="J44" s="9">
        <v>500</v>
      </c>
      <c r="K44" s="9">
        <v>0.8</v>
      </c>
      <c r="L44" s="21">
        <f>'[93]Arc Results'!$I$10960+'[93]Arc Results'!$I$10971+'[93]Arc Results'!$I$10982+'[93]Arc Results'!$I$10993+'[93]Arc Results'!$I$11004+'[93]Arc Results'!$I$11015+'[93]Arc Results'!$I$11026+'[93]Arc Results'!$I$11037+'[93]Arc Results'!$I$11048+'[93]Arc Results'!$I$11059+'[93]Arc Results'!$I$11070+'[93]Arc Results'!$I$11081+'[93]Arc Results'!$I$11092+'[93]Arc Results'!$I$11103+'[93]Arc Results'!$I$11114+'[93]Arc Results'!$I$11125+'[93]Arc Results'!$I$11136+'[93]Arc Results'!$I$11147+'[93]Arc Results'!$I$11158+'[93]Arc Results'!$I$11169+'[93]Arc Results'!$I$11180+'[93]Arc Results'!$I$11191+'[93]Arc Results'!$I$11202+'[93]Arc Results'!$I$11213+'[93]Arc Results'!$I$11224+'[93]Arc Results'!$I$11235+'[93]Arc Results'!$I$11246+'[93]Arc Results'!$I$11257+'[93]Arc Results'!$I$11268</f>
        <v>3207.6363031802016</v>
      </c>
      <c r="M44" s="21">
        <f>'[93]Arc Results'!$I$257</f>
        <v>14223.844769725045</v>
      </c>
      <c r="N44" s="21">
        <f t="shared" ref="N44" si="135">SUM(AG44:AH44)</f>
        <v>5589.0332326283988</v>
      </c>
      <c r="O44" s="21">
        <f t="shared" ref="O44" si="136">SUM(AI44:AJ44)</f>
        <v>8884.8338368580062</v>
      </c>
      <c r="P44" s="22">
        <f t="shared" ref="P44" si="137">SUM(AM44:AN44)</f>
        <v>5537.5921450151054</v>
      </c>
      <c r="Q44" s="22">
        <f t="shared" ref="Q44" si="138">SUM(AC44:AD44)</f>
        <v>1360.8134441087614</v>
      </c>
      <c r="R44" s="22">
        <f t="shared" ref="R44" si="139">SUM(AE44:AF44)</f>
        <v>453.87915407854985</v>
      </c>
      <c r="S44" s="22">
        <f t="shared" ref="S44" si="140">SUM(AA44:AB44)</f>
        <v>289.30513595166161</v>
      </c>
      <c r="T44" s="22">
        <f t="shared" ref="T44" si="141">SUM(AK44:AL44)</f>
        <v>6129.9999999999991</v>
      </c>
      <c r="U44" s="39" t="str">
        <f>[93]Log!$K$2</f>
        <v>339.985.632,35</v>
      </c>
      <c r="V44" s="39" t="str">
        <f>[93]Log!$J$2</f>
        <v>88.973.415,72</v>
      </c>
      <c r="W44" s="39" t="str">
        <f>[93]Log!$N$2</f>
        <v>35.380.701,91</v>
      </c>
      <c r="X44" s="23">
        <f t="shared" ref="X44" si="142">SUM(U44:W44)</f>
        <v>0</v>
      </c>
      <c r="Y44" s="22"/>
      <c r="Z44" s="24">
        <f t="shared" ref="Z44" si="143">M44+N44+O44+P44+Q44+R44+S44+T44</f>
        <v>42469.301718365532</v>
      </c>
      <c r="AA44" s="22">
        <f>'[93]Arc Results'!$I$15</f>
        <v>108.48942598187311</v>
      </c>
      <c r="AB44" s="22">
        <f>'[93]Arc Results'!$I$26</f>
        <v>180.81570996978851</v>
      </c>
      <c r="AC44" s="22">
        <f>'[93]Arc Results'!$I$48</f>
        <v>562.34592145015108</v>
      </c>
      <c r="AD44" s="22">
        <f>'[93]Arc Results'!$I$59</f>
        <v>798.46752265861028</v>
      </c>
      <c r="AE44" s="22">
        <f>'[93]Arc Results'!$I$114</f>
        <v>216.95468277945619</v>
      </c>
      <c r="AF44" s="22">
        <f>'[93]Arc Results'!$I$125</f>
        <v>236.92447129909365</v>
      </c>
      <c r="AG44" s="22">
        <f>'[93]Arc Results'!$I$147</f>
        <v>2782.1374622356498</v>
      </c>
      <c r="AH44" s="22">
        <f>'[93]Arc Results'!$I$158</f>
        <v>2806.8957703927495</v>
      </c>
      <c r="AI44" s="22">
        <f>'[93]Arc Results'!$I$213</f>
        <v>4331.8126888217521</v>
      </c>
      <c r="AJ44" s="22">
        <f>'[93]Arc Results'!$I$224</f>
        <v>4553.0211480362541</v>
      </c>
      <c r="AK44" s="22">
        <f>'[93]Arc Results'!$I$180</f>
        <v>3063</v>
      </c>
      <c r="AL44" s="22">
        <f>'[93]Arc Results'!$I$191</f>
        <v>3066.9999999999991</v>
      </c>
      <c r="AM44" s="22">
        <f>'[93]Arc Results'!$I$81</f>
        <v>2768.7960725075527</v>
      </c>
      <c r="AN44" s="22">
        <f>'[93]Arc Results'!$I$81</f>
        <v>2768.7960725075527</v>
      </c>
      <c r="AP44" s="9">
        <f t="shared" si="10"/>
        <v>1.25</v>
      </c>
      <c r="AQ44" s="9">
        <f t="shared" si="11"/>
        <v>1.1735150414854274</v>
      </c>
      <c r="AR44" s="9">
        <f t="shared" si="12"/>
        <v>1.0439980297402718</v>
      </c>
      <c r="AS44" s="9">
        <f t="shared" si="13"/>
        <v>1.0044298015643498</v>
      </c>
      <c r="AT44" s="9">
        <f t="shared" si="14"/>
        <v>1.0248973096488128</v>
      </c>
      <c r="AU44" s="9">
        <f t="shared" si="15"/>
        <v>1.0006525285481238</v>
      </c>
      <c r="AV44" s="9">
        <f t="shared" si="16"/>
        <v>1</v>
      </c>
    </row>
    <row r="45" spans="1:48" ht="15.75">
      <c r="A45">
        <f t="shared" si="17"/>
        <v>41</v>
      </c>
      <c r="B45" s="9">
        <v>2020</v>
      </c>
      <c r="C45" s="9" t="s">
        <v>89</v>
      </c>
      <c r="D45" s="9" t="s">
        <v>88</v>
      </c>
      <c r="E45" s="7" t="s">
        <v>6</v>
      </c>
      <c r="F45" s="20" t="s">
        <v>76</v>
      </c>
      <c r="G45" s="7" t="s">
        <v>8</v>
      </c>
      <c r="H45" s="7" t="s">
        <v>9</v>
      </c>
      <c r="I45" s="9" t="s">
        <v>45</v>
      </c>
      <c r="J45" s="9">
        <v>500</v>
      </c>
      <c r="K45" s="9">
        <v>0.8</v>
      </c>
      <c r="L45" s="21">
        <f>'[94]Arc Results'!$I$10960+'[94]Arc Results'!$I$10971+'[94]Arc Results'!$I$10982+'[94]Arc Results'!$I$10993+'[94]Arc Results'!$I$11004+'[94]Arc Results'!$I$11015+'[94]Arc Results'!$I$11026+'[94]Arc Results'!$I$11037+'[94]Arc Results'!$I$11048+'[94]Arc Results'!$I$11059+'[94]Arc Results'!$I$11070+'[94]Arc Results'!$I$11081+'[94]Arc Results'!$I$11092+'[94]Arc Results'!$I$11103+'[94]Arc Results'!$I$11114+'[94]Arc Results'!$I$11125+'[94]Arc Results'!$I$11136+'[94]Arc Results'!$I$11147+'[94]Arc Results'!$I$11158+'[94]Arc Results'!$I$11169+'[94]Arc Results'!$I$11180+'[94]Arc Results'!$I$11191+'[94]Arc Results'!$I$11202+'[94]Arc Results'!$I$11213+'[94]Arc Results'!$I$11224+'[94]Arc Results'!$I$11235+'[94]Arc Results'!$I$11246+'[94]Arc Results'!$I$11257+'[94]Arc Results'!$I$11268</f>
        <v>3062.7278817300507</v>
      </c>
      <c r="M45" s="21">
        <f>'[94]Arc Results'!$I$257</f>
        <v>14223.844769725045</v>
      </c>
      <c r="N45" s="21">
        <f t="shared" ref="N45" si="144">SUM(AG45:AH45)</f>
        <v>6124.0000000000018</v>
      </c>
      <c r="O45" s="21">
        <f t="shared" ref="O45" si="145">SUM(AI45:AJ45)</f>
        <v>8774.2296072507561</v>
      </c>
      <c r="P45" s="22">
        <f t="shared" ref="P45" si="146">SUM(AM45:AN45)</f>
        <v>5310.1941087613295</v>
      </c>
      <c r="Q45" s="22">
        <f t="shared" ref="Q45" si="147">SUM(AC45:AD45)</f>
        <v>1262.0308588963935</v>
      </c>
      <c r="R45" s="22">
        <f t="shared" ref="R45" si="148">SUM(AE45:AF45)</f>
        <v>443.89425981873109</v>
      </c>
      <c r="S45" s="22">
        <f t="shared" ref="S45" si="149">SUM(AA45:AB45)</f>
        <v>253.1419939577039</v>
      </c>
      <c r="T45" s="22">
        <f t="shared" ref="T45" si="150">SUM(AK45:AL45)</f>
        <v>6130</v>
      </c>
      <c r="U45" s="39" t="str">
        <f>[94]Log!$K$2</f>
        <v>322.393.651,59</v>
      </c>
      <c r="V45" s="39" t="str">
        <f>[94]Log!$J$2</f>
        <v>88.973.415,72</v>
      </c>
      <c r="W45" s="39" t="str">
        <f>[94]Log!$N$2</f>
        <v>35.380.701,91</v>
      </c>
      <c r="X45" s="23">
        <f t="shared" ref="X45" si="151">SUM(U45:W45)</f>
        <v>0</v>
      </c>
      <c r="Y45" s="22"/>
      <c r="Z45" s="24">
        <f t="shared" ref="Z45" si="152">M45+N45+O45+P45+Q45+R45+S45+T45</f>
        <v>42521.335598409954</v>
      </c>
      <c r="AA45" s="22">
        <f>'[94]Arc Results'!$I$15</f>
        <v>90.407854984894257</v>
      </c>
      <c r="AB45" s="22">
        <f>'[94]Arc Results'!$I$26</f>
        <v>162.73413897280966</v>
      </c>
      <c r="AC45" s="22">
        <f>'[94]Arc Results'!$I$48</f>
        <v>515.1216012084592</v>
      </c>
      <c r="AD45" s="22">
        <f>'[94]Arc Results'!$I$59</f>
        <v>746.90925768793443</v>
      </c>
      <c r="AE45" s="22">
        <f>'[94]Arc Results'!$I$114</f>
        <v>211.96223564954681</v>
      </c>
      <c r="AF45" s="22">
        <f>'[94]Arc Results'!$I$125</f>
        <v>231.93202416918427</v>
      </c>
      <c r="AG45" s="22">
        <f>'[94]Arc Results'!$I$147</f>
        <v>2876.5285120845924</v>
      </c>
      <c r="AH45" s="22">
        <f>'[94]Arc Results'!$I$158</f>
        <v>3247.4714879154089</v>
      </c>
      <c r="AI45" s="22">
        <f>'[94]Arc Results'!$I$213</f>
        <v>4276.510574018127</v>
      </c>
      <c r="AJ45" s="22">
        <f>'[94]Arc Results'!$I$224</f>
        <v>4497.7190332326281</v>
      </c>
      <c r="AK45" s="22">
        <f>'[94]Arc Results'!$I$180</f>
        <v>3063</v>
      </c>
      <c r="AL45" s="22">
        <f>'[94]Arc Results'!$I$191</f>
        <v>3067</v>
      </c>
      <c r="AM45" s="22">
        <f>'[94]Arc Results'!$I$81</f>
        <v>2655.0970543806648</v>
      </c>
      <c r="AN45" s="22">
        <f>'[94]Arc Results'!$I$81</f>
        <v>2655.0970543806648</v>
      </c>
      <c r="AP45" s="9">
        <f t="shared" si="10"/>
        <v>1.2857142857142858</v>
      </c>
      <c r="AQ45" s="9">
        <f t="shared" si="11"/>
        <v>1.1836624317428865</v>
      </c>
      <c r="AR45" s="9">
        <f t="shared" si="12"/>
        <v>1.0449877151549387</v>
      </c>
      <c r="AS45" s="9">
        <f t="shared" si="13"/>
        <v>1.060572007810388</v>
      </c>
      <c r="AT45" s="9">
        <f t="shared" si="14"/>
        <v>1.0252111546102807</v>
      </c>
      <c r="AU45" s="9">
        <f t="shared" si="15"/>
        <v>1.000652528548124</v>
      </c>
      <c r="AV45" s="9">
        <f t="shared" si="16"/>
        <v>1</v>
      </c>
    </row>
    <row r="46" spans="1:48" ht="15.75">
      <c r="A46">
        <f t="shared" si="17"/>
        <v>42</v>
      </c>
      <c r="B46" s="9">
        <v>2020</v>
      </c>
      <c r="C46" s="9" t="s">
        <v>89</v>
      </c>
      <c r="D46" s="9" t="s">
        <v>88</v>
      </c>
      <c r="E46" s="7" t="s">
        <v>6</v>
      </c>
      <c r="F46" s="20" t="s">
        <v>77</v>
      </c>
      <c r="G46" s="7" t="s">
        <v>8</v>
      </c>
      <c r="H46" s="7" t="s">
        <v>9</v>
      </c>
      <c r="I46" s="9" t="s">
        <v>45</v>
      </c>
      <c r="J46" s="9">
        <v>500</v>
      </c>
      <c r="K46" s="9">
        <v>0.8</v>
      </c>
      <c r="L46" s="21">
        <f>'[95]Arc Results'!$I$10960+'[95]Arc Results'!$I$10971+'[95]Arc Results'!$I$10982+'[95]Arc Results'!$I$10993+'[95]Arc Results'!$I$11004+'[95]Arc Results'!$I$11015+'[95]Arc Results'!$I$11026+'[95]Arc Results'!$I$11037+'[95]Arc Results'!$I$11048+'[95]Arc Results'!$I$11059+'[95]Arc Results'!$I$11070+'[95]Arc Results'!$I$11081+'[95]Arc Results'!$I$11092+'[95]Arc Results'!$I$11103+'[95]Arc Results'!$I$11114+'[95]Arc Results'!$I$11125+'[95]Arc Results'!$I$11136+'[95]Arc Results'!$I$11147+'[95]Arc Results'!$I$11158+'[95]Arc Results'!$I$11169+'[95]Arc Results'!$I$11180+'[95]Arc Results'!$I$11191+'[95]Arc Results'!$I$11202+'[95]Arc Results'!$I$11213+'[95]Arc Results'!$I$11224+'[95]Arc Results'!$I$11235+'[95]Arc Results'!$I$11246+'[95]Arc Results'!$I$11257+'[95]Arc Results'!$I$11268</f>
        <v>3138.9000494037809</v>
      </c>
      <c r="M46" s="21">
        <f>'[95]Arc Results'!$I$257</f>
        <v>14223.844769725041</v>
      </c>
      <c r="N46" s="21">
        <f t="shared" ref="N46" si="153">SUM(AG46:AH46)</f>
        <v>5490.0000000000045</v>
      </c>
      <c r="O46" s="21">
        <f t="shared" ref="O46" si="154">SUM(AI46:AJ46)</f>
        <v>11504.000000000016</v>
      </c>
      <c r="P46" s="22">
        <f t="shared" ref="P46" si="155">SUM(AM46:AN46)</f>
        <v>4628</v>
      </c>
      <c r="Q46" s="22">
        <f t="shared" ref="Q46" si="156">SUM(AC46:AD46)</f>
        <v>630.28690119243959</v>
      </c>
      <c r="R46" s="22">
        <f t="shared" ref="R46" si="157">SUM(AE46:AF46)</f>
        <v>374.00000000000011</v>
      </c>
      <c r="S46" s="22">
        <f t="shared" ref="S46" si="158">SUM(AA46:AB46)</f>
        <v>0</v>
      </c>
      <c r="T46" s="22">
        <f t="shared" ref="T46" si="159">SUM(AK46:AL46)</f>
        <v>6126</v>
      </c>
      <c r="U46" s="39" t="str">
        <f>[95]Log!$K$2</f>
        <v>309.148.721,81</v>
      </c>
      <c r="V46" s="39" t="str">
        <f>[95]Log!$J$2</f>
        <v>88.973.415,72</v>
      </c>
      <c r="W46" s="39" t="str">
        <f>[95]Log!$N$2</f>
        <v>35.380.701,91</v>
      </c>
      <c r="X46" s="23">
        <f t="shared" ref="X46" si="160">SUM(U46:W46)</f>
        <v>0</v>
      </c>
      <c r="Y46" s="22"/>
      <c r="Z46" s="24">
        <f t="shared" ref="Z46" si="161">M46+N46+O46+P46+Q46+R46+S46+T46</f>
        <v>42976.131670917501</v>
      </c>
      <c r="AA46" s="22">
        <f>'[95]Arc Results'!$I$15</f>
        <v>0</v>
      </c>
      <c r="AB46" s="22">
        <f>'[95]Arc Results'!$I$26</f>
        <v>0</v>
      </c>
      <c r="AC46" s="22">
        <f>'[95]Arc Results'!$I$48</f>
        <v>279</v>
      </c>
      <c r="AD46" s="22">
        <f>'[95]Arc Results'!$I$59</f>
        <v>351.28690119243959</v>
      </c>
      <c r="AE46" s="22">
        <f>'[95]Arc Results'!$I$114</f>
        <v>187</v>
      </c>
      <c r="AF46" s="22">
        <f>'[95]Arc Results'!$I$125</f>
        <v>187.00000000000014</v>
      </c>
      <c r="AG46" s="22">
        <f>'[95]Arc Results'!$I$147</f>
        <v>2745</v>
      </c>
      <c r="AH46" s="22">
        <f>'[95]Arc Results'!$I$158</f>
        <v>2745.0000000000045</v>
      </c>
      <c r="AI46" s="22">
        <f>'[95]Arc Results'!$I$213</f>
        <v>5176.8000000000156</v>
      </c>
      <c r="AJ46" s="22">
        <f>'[95]Arc Results'!$I$224</f>
        <v>6327.2000000000007</v>
      </c>
      <c r="AK46" s="22">
        <f>'[95]Arc Results'!$I$180</f>
        <v>3063</v>
      </c>
      <c r="AL46" s="22">
        <f>'[95]Arc Results'!$I$191</f>
        <v>3063.0000000000005</v>
      </c>
      <c r="AM46" s="22">
        <f>'[95]Arc Results'!$I$81</f>
        <v>2314</v>
      </c>
      <c r="AN46" s="22">
        <f>'[95]Arc Results'!$I$81</f>
        <v>2314</v>
      </c>
      <c r="AP46" s="9" t="e">
        <f t="shared" si="10"/>
        <v>#DIV/0!</v>
      </c>
      <c r="AQ46" s="9">
        <f t="shared" si="11"/>
        <v>1.1146888838331876</v>
      </c>
      <c r="AR46" s="9">
        <f t="shared" si="12"/>
        <v>1.0000000000000004</v>
      </c>
      <c r="AS46" s="9">
        <f t="shared" si="13"/>
        <v>1.0000000000000009</v>
      </c>
      <c r="AT46" s="9">
        <f t="shared" si="14"/>
        <v>1.0999999999999985</v>
      </c>
      <c r="AU46" s="9">
        <f t="shared" si="15"/>
        <v>1.0000000000000002</v>
      </c>
      <c r="AV46" s="9">
        <f t="shared" si="16"/>
        <v>1</v>
      </c>
    </row>
    <row r="47" spans="1:48" ht="15.75">
      <c r="A47">
        <f t="shared" si="17"/>
        <v>43</v>
      </c>
      <c r="B47" s="9">
        <v>2020</v>
      </c>
      <c r="C47" s="9" t="s">
        <v>89</v>
      </c>
      <c r="D47" s="9" t="s">
        <v>88</v>
      </c>
      <c r="E47" s="7" t="s">
        <v>6</v>
      </c>
      <c r="F47" s="20" t="s">
        <v>78</v>
      </c>
      <c r="G47" s="7" t="s">
        <v>8</v>
      </c>
      <c r="H47" s="7" t="s">
        <v>9</v>
      </c>
      <c r="I47" s="9" t="s">
        <v>45</v>
      </c>
      <c r="J47" s="9">
        <v>500</v>
      </c>
      <c r="K47" s="9">
        <v>0.8</v>
      </c>
      <c r="L47" s="21">
        <f>'[96]Arc Results'!$I$10960+'[96]Arc Results'!$I$10971+'[96]Arc Results'!$I$10982+'[96]Arc Results'!$I$10993+'[96]Arc Results'!$I$11004+'[96]Arc Results'!$I$11015+'[96]Arc Results'!$I$11026+'[96]Arc Results'!$I$11037+'[96]Arc Results'!$I$11048+'[96]Arc Results'!$I$11059+'[96]Arc Results'!$I$11070+'[96]Arc Results'!$I$11081+'[96]Arc Results'!$I$11092+'[96]Arc Results'!$I$11103+'[96]Arc Results'!$I$11114+'[96]Arc Results'!$I$11125+'[96]Arc Results'!$I$11136+'[96]Arc Results'!$I$11147+'[96]Arc Results'!$I$11158+'[96]Arc Results'!$I$11169+'[96]Arc Results'!$I$11180+'[96]Arc Results'!$I$11191+'[96]Arc Results'!$I$11202+'[96]Arc Results'!$I$11213+'[96]Arc Results'!$I$11224+'[96]Arc Results'!$I$11235+'[96]Arc Results'!$I$11246+'[96]Arc Results'!$I$11257+'[96]Arc Results'!$I$11268</f>
        <v>3406.5303607170713</v>
      </c>
      <c r="M47" s="21">
        <f>'[96]Arc Results'!$I$257</f>
        <v>14223.844769725058</v>
      </c>
      <c r="N47" s="21">
        <f t="shared" ref="N47" si="162">SUM(AG47:AH47)</f>
        <v>5490.0000000000036</v>
      </c>
      <c r="O47" s="21">
        <f t="shared" ref="O47" si="163">SUM(AI47:AJ47)</f>
        <v>8000.0000000000018</v>
      </c>
      <c r="P47" s="22">
        <f t="shared" ref="P47" si="164">SUM(AM47:AN47)</f>
        <v>7516.8606226266102</v>
      </c>
      <c r="Q47" s="22">
        <f t="shared" ref="Q47" si="165">SUM(AC47:AD47)</f>
        <v>558</v>
      </c>
      <c r="R47" s="22">
        <f t="shared" ref="R47" si="166">SUM(AE47:AF47)</f>
        <v>374.00000000000011</v>
      </c>
      <c r="S47" s="22">
        <f t="shared" ref="S47" si="167">SUM(AA47:AB47)</f>
        <v>0</v>
      </c>
      <c r="T47" s="22">
        <f t="shared" ref="T47" si="168">SUM(AK47:AL47)</f>
        <v>6126</v>
      </c>
      <c r="U47" s="39" t="str">
        <f>[96]Log!$K$2</f>
        <v>317.256.212,64</v>
      </c>
      <c r="V47" s="39" t="str">
        <f>[96]Log!$J$2</f>
        <v>88.973.415,72</v>
      </c>
      <c r="W47" s="39" t="str">
        <f>[96]Log!$N$2</f>
        <v>35.380.701,91</v>
      </c>
      <c r="X47" s="23">
        <f t="shared" ref="X47" si="169">SUM(U47:W47)</f>
        <v>0</v>
      </c>
      <c r="Y47" s="22"/>
      <c r="Z47" s="24">
        <f t="shared" ref="Z47" si="170">M47+N47+O47+P47+Q47+R47+S47+T47</f>
        <v>42288.705392351672</v>
      </c>
      <c r="AA47" s="22">
        <f>'[96]Arc Results'!$I$15</f>
        <v>0</v>
      </c>
      <c r="AB47" s="22">
        <f>'[96]Arc Results'!$I$26</f>
        <v>0</v>
      </c>
      <c r="AC47" s="22">
        <f>'[96]Arc Results'!$I$48</f>
        <v>279</v>
      </c>
      <c r="AD47" s="22">
        <f>'[96]Arc Results'!$I$59</f>
        <v>279</v>
      </c>
      <c r="AE47" s="22">
        <f>'[96]Arc Results'!$I$114</f>
        <v>187</v>
      </c>
      <c r="AF47" s="22">
        <f>'[96]Arc Results'!$I$125</f>
        <v>187.00000000000009</v>
      </c>
      <c r="AG47" s="22">
        <f>'[96]Arc Results'!$I$147</f>
        <v>2745</v>
      </c>
      <c r="AH47" s="22">
        <f>'[96]Arc Results'!$I$158</f>
        <v>2745.0000000000041</v>
      </c>
      <c r="AI47" s="22">
        <f>'[96]Arc Results'!$I$213</f>
        <v>4000</v>
      </c>
      <c r="AJ47" s="22">
        <f>'[96]Arc Results'!$I$224</f>
        <v>4000.0000000000018</v>
      </c>
      <c r="AK47" s="22">
        <f>'[96]Arc Results'!$I$180</f>
        <v>3063</v>
      </c>
      <c r="AL47" s="22">
        <f>'[96]Arc Results'!$I$191</f>
        <v>3063.0000000000005</v>
      </c>
      <c r="AM47" s="22">
        <f>'[96]Arc Results'!$I$81</f>
        <v>3758.4303113133051</v>
      </c>
      <c r="AN47" s="22">
        <f>'[96]Arc Results'!$I$81</f>
        <v>3758.4303113133051</v>
      </c>
      <c r="AP47" s="9" t="e">
        <f t="shared" si="10"/>
        <v>#DIV/0!</v>
      </c>
      <c r="AQ47" s="9">
        <f t="shared" si="11"/>
        <v>1</v>
      </c>
      <c r="AR47" s="9">
        <f t="shared" si="12"/>
        <v>1.0000000000000002</v>
      </c>
      <c r="AS47" s="9">
        <f t="shared" si="13"/>
        <v>1.0000000000000009</v>
      </c>
      <c r="AT47" s="9">
        <f t="shared" si="14"/>
        <v>1.0000000000000002</v>
      </c>
      <c r="AU47" s="9">
        <f t="shared" si="15"/>
        <v>1.0000000000000002</v>
      </c>
      <c r="AV47" s="9">
        <f t="shared" si="16"/>
        <v>1</v>
      </c>
    </row>
    <row r="48" spans="1:48" ht="15.75">
      <c r="A48">
        <f t="shared" si="17"/>
        <v>44</v>
      </c>
      <c r="B48" s="9">
        <v>2020</v>
      </c>
      <c r="C48" s="9" t="s">
        <v>89</v>
      </c>
      <c r="D48" s="9" t="s">
        <v>88</v>
      </c>
      <c r="E48" s="7" t="s">
        <v>6</v>
      </c>
      <c r="F48" s="20" t="s">
        <v>79</v>
      </c>
      <c r="G48" s="7" t="s">
        <v>8</v>
      </c>
      <c r="H48" s="7" t="s">
        <v>9</v>
      </c>
      <c r="I48" s="9" t="s">
        <v>45</v>
      </c>
      <c r="J48" s="9">
        <v>500</v>
      </c>
      <c r="K48" s="9">
        <v>0.8</v>
      </c>
      <c r="L48" s="21">
        <f>'[97]Arc Results'!$I$10960+'[97]Arc Results'!$I$10971+'[97]Arc Results'!$I$10982+'[97]Arc Results'!$I$10993+'[97]Arc Results'!$I$11004+'[97]Arc Results'!$I$11015+'[97]Arc Results'!$I$11026+'[97]Arc Results'!$I$11037+'[97]Arc Results'!$I$11048+'[97]Arc Results'!$I$11059+'[97]Arc Results'!$I$11070+'[97]Arc Results'!$I$11081+'[97]Arc Results'!$I$11092+'[97]Arc Results'!$I$11103+'[97]Arc Results'!$I$11114+'[97]Arc Results'!$I$11125+'[97]Arc Results'!$I$11136+'[97]Arc Results'!$I$11147+'[97]Arc Results'!$I$11158+'[97]Arc Results'!$I$11169+'[97]Arc Results'!$I$11180+'[97]Arc Results'!$I$11191+'[97]Arc Results'!$I$11202+'[97]Arc Results'!$I$11213+'[97]Arc Results'!$I$11224+'[97]Arc Results'!$I$11235+'[97]Arc Results'!$I$11246+'[97]Arc Results'!$I$11257+'[97]Arc Results'!$I$11268</f>
        <v>3206.7393998569391</v>
      </c>
      <c r="M48" s="21">
        <f>'[97]Arc Results'!$I$257</f>
        <v>14223.844769725045</v>
      </c>
      <c r="N48" s="21">
        <f t="shared" ref="N48" si="171">SUM(AG48:AH48)</f>
        <v>5576.6540785498491</v>
      </c>
      <c r="O48" s="21">
        <f t="shared" ref="O48" si="172">SUM(AI48:AJ48)</f>
        <v>8786.6845598027376</v>
      </c>
      <c r="P48" s="22">
        <f t="shared" ref="P48" si="173">SUM(AM48:AN48)</f>
        <v>5310.1941087613295</v>
      </c>
      <c r="Q48" s="22">
        <f t="shared" ref="Q48" si="174">SUM(AC48:AD48)</f>
        <v>1266.3648036253776</v>
      </c>
      <c r="R48" s="22">
        <f t="shared" ref="R48" si="175">SUM(AE48:AF48)</f>
        <v>443.89425981873109</v>
      </c>
      <c r="S48" s="22">
        <f t="shared" ref="S48" si="176">SUM(AA48:AB48)</f>
        <v>670</v>
      </c>
      <c r="T48" s="22">
        <f t="shared" ref="T48" si="177">SUM(AK48:AL48)</f>
        <v>6130</v>
      </c>
      <c r="U48" s="39" t="str">
        <f>[97]Log!$K$2</f>
        <v>338.106.303,83</v>
      </c>
      <c r="V48" s="39" t="str">
        <f>[97]Log!$J$2</f>
        <v>88.973.415,72</v>
      </c>
      <c r="W48" s="39" t="str">
        <f>[97]Log!$N$2</f>
        <v>35.380.701,91</v>
      </c>
      <c r="X48" s="23">
        <f t="shared" ref="X48" si="178">SUM(U48:W48)</f>
        <v>0</v>
      </c>
      <c r="Y48" s="22"/>
      <c r="Z48" s="24">
        <f t="shared" ref="Z48" si="179">M48+N48+O48+P48+Q48+R48+S48+T48</f>
        <v>42407.63658028307</v>
      </c>
      <c r="AA48" s="22">
        <f>'[97]Arc Results'!$I$15</f>
        <v>335</v>
      </c>
      <c r="AB48" s="22">
        <f>'[97]Arc Results'!$I$26</f>
        <v>335</v>
      </c>
      <c r="AC48" s="22">
        <f>'[97]Arc Results'!$I$48</f>
        <v>515.1216012084592</v>
      </c>
      <c r="AD48" s="22">
        <f>'[97]Arc Results'!$I$59</f>
        <v>751.24320241691839</v>
      </c>
      <c r="AE48" s="22">
        <f>'[97]Arc Results'!$I$114</f>
        <v>211.96223564954681</v>
      </c>
      <c r="AF48" s="22">
        <f>'[97]Arc Results'!$I$125</f>
        <v>231.93202416918427</v>
      </c>
      <c r="AG48" s="22">
        <f>'[97]Arc Results'!$I$147</f>
        <v>2775.9478851963745</v>
      </c>
      <c r="AH48" s="22">
        <f>'[97]Arc Results'!$I$158</f>
        <v>2800.7061933534742</v>
      </c>
      <c r="AI48" s="22">
        <f>'[97]Arc Results'!$I$213</f>
        <v>4276.510574018127</v>
      </c>
      <c r="AJ48" s="22">
        <f>'[97]Arc Results'!$I$224</f>
        <v>4510.1739857846105</v>
      </c>
      <c r="AK48" s="22">
        <f>'[97]Arc Results'!$I$180</f>
        <v>3063</v>
      </c>
      <c r="AL48" s="22">
        <f>'[97]Arc Results'!$I$191</f>
        <v>3066.9999999999995</v>
      </c>
      <c r="AM48" s="22">
        <f>'[97]Arc Results'!$I$81</f>
        <v>2655.0970543806648</v>
      </c>
      <c r="AN48" s="22">
        <f>'[97]Arc Results'!$I$81</f>
        <v>2655.0970543806648</v>
      </c>
      <c r="AP48" s="9">
        <f t="shared" si="10"/>
        <v>1</v>
      </c>
      <c r="AQ48" s="9">
        <f t="shared" si="11"/>
        <v>1.1864562253566153</v>
      </c>
      <c r="AR48" s="9">
        <f t="shared" si="12"/>
        <v>1.0449877151549387</v>
      </c>
      <c r="AS48" s="9">
        <f t="shared" si="13"/>
        <v>1.0044396349151958</v>
      </c>
      <c r="AT48" s="9">
        <f t="shared" si="14"/>
        <v>1.0265928986270254</v>
      </c>
      <c r="AU48" s="9">
        <f t="shared" si="15"/>
        <v>1.0006525285481238</v>
      </c>
      <c r="AV48" s="9">
        <f t="shared" si="16"/>
        <v>1</v>
      </c>
    </row>
    <row r="49" spans="1:48" ht="15.75">
      <c r="A49">
        <f t="shared" si="17"/>
        <v>45</v>
      </c>
      <c r="B49" s="9">
        <v>2020</v>
      </c>
      <c r="C49" s="9" t="s">
        <v>89</v>
      </c>
      <c r="D49" s="9" t="s">
        <v>88</v>
      </c>
      <c r="E49" s="7" t="s">
        <v>6</v>
      </c>
      <c r="F49" s="20" t="s">
        <v>80</v>
      </c>
      <c r="G49" s="7" t="s">
        <v>8</v>
      </c>
      <c r="H49" s="7" t="s">
        <v>9</v>
      </c>
      <c r="I49" s="9" t="s">
        <v>45</v>
      </c>
      <c r="J49" s="9">
        <v>500</v>
      </c>
      <c r="K49" s="9">
        <v>0.8</v>
      </c>
      <c r="L49" s="21">
        <f>'[98]Arc Results'!$I$10960+'[98]Arc Results'!$I$10971+'[98]Arc Results'!$I$10982+'[98]Arc Results'!$I$10993+'[98]Arc Results'!$I$11004+'[98]Arc Results'!$I$11015+'[98]Arc Results'!$I$11026+'[98]Arc Results'!$I$11037+'[98]Arc Results'!$I$11048+'[98]Arc Results'!$I$11059+'[98]Arc Results'!$I$11070+'[98]Arc Results'!$I$11081+'[98]Arc Results'!$I$11092+'[98]Arc Results'!$I$11103+'[98]Arc Results'!$I$11114+'[98]Arc Results'!$I$11125+'[98]Arc Results'!$I$11136+'[98]Arc Results'!$I$11147+'[98]Arc Results'!$I$11158+'[98]Arc Results'!$I$11169+'[98]Arc Results'!$I$11180+'[98]Arc Results'!$I$11191+'[98]Arc Results'!$I$11202+'[98]Arc Results'!$I$11213+'[98]Arc Results'!$I$11224+'[98]Arc Results'!$I$11235+'[98]Arc Results'!$I$11246+'[98]Arc Results'!$I$11257+'[98]Arc Results'!$I$11268</f>
        <v>3216.6657593735522</v>
      </c>
      <c r="M49" s="21">
        <f>'[98]Arc Results'!$I$257</f>
        <v>14223.844769725045</v>
      </c>
      <c r="N49" s="21">
        <f t="shared" ref="N49" si="180">SUM(AG49:AH49)</f>
        <v>5527.1374622356489</v>
      </c>
      <c r="O49" s="21">
        <f t="shared" ref="O49" si="181">SUM(AI49:AJ49)</f>
        <v>8331.8126888217521</v>
      </c>
      <c r="P49" s="22">
        <f t="shared" ref="P49" si="182">SUM(AM49:AN49)</f>
        <v>4628</v>
      </c>
      <c r="Q49" s="22">
        <f t="shared" ref="Q49" si="183">SUM(AC49:AD49)</f>
        <v>3219.9999999999977</v>
      </c>
      <c r="R49" s="22">
        <f t="shared" ref="R49" si="184">SUM(AE49:AF49)</f>
        <v>403.95468277945616</v>
      </c>
      <c r="S49" s="22">
        <f t="shared" ref="S49" si="185">SUM(AA49:AB49)</f>
        <v>108.48942598187311</v>
      </c>
      <c r="T49" s="22">
        <f t="shared" ref="T49" si="186">SUM(AK49:AL49)</f>
        <v>6126</v>
      </c>
      <c r="U49" s="39" t="str">
        <f>[98]Log!$K$2</f>
        <v>332.354.290,78</v>
      </c>
      <c r="V49" s="39" t="str">
        <f>[98]Log!$J$2</f>
        <v>88.973.415,72</v>
      </c>
      <c r="W49" s="39" t="str">
        <f>[98]Log!$N$2</f>
        <v>35.380.701,91</v>
      </c>
      <c r="X49" s="23">
        <f t="shared" ref="X49" si="187">SUM(U49:W49)</f>
        <v>0</v>
      </c>
      <c r="Y49" s="22"/>
      <c r="Z49" s="24">
        <f t="shared" ref="Z49" si="188">M49+N49+O49+P49+Q49+R49+S49+T49</f>
        <v>42569.239029543773</v>
      </c>
      <c r="AA49" s="22">
        <f>'[98]Arc Results'!$I$15</f>
        <v>18.081570996978851</v>
      </c>
      <c r="AB49" s="22">
        <f>'[98]Arc Results'!$I$26</f>
        <v>90.407854984894257</v>
      </c>
      <c r="AC49" s="22">
        <f>'[98]Arc Results'!$I$48</f>
        <v>1448.9999999999975</v>
      </c>
      <c r="AD49" s="22">
        <f>'[98]Arc Results'!$I$59</f>
        <v>1771.0000000000002</v>
      </c>
      <c r="AE49" s="22">
        <f>'[98]Arc Results'!$I$114</f>
        <v>191.99244712990935</v>
      </c>
      <c r="AF49" s="22">
        <f>'[98]Arc Results'!$I$125</f>
        <v>211.96223564954681</v>
      </c>
      <c r="AG49" s="22">
        <f>'[98]Arc Results'!$I$147</f>
        <v>2751.1895770392748</v>
      </c>
      <c r="AH49" s="22">
        <f>'[98]Arc Results'!$I$158</f>
        <v>2775.9478851963745</v>
      </c>
      <c r="AI49" s="22">
        <f>'[98]Arc Results'!$I$213</f>
        <v>4055.3021148036255</v>
      </c>
      <c r="AJ49" s="22">
        <f>'[98]Arc Results'!$I$224</f>
        <v>4276.510574018127</v>
      </c>
      <c r="AK49" s="22">
        <f>'[98]Arc Results'!$I$180</f>
        <v>3063</v>
      </c>
      <c r="AL49" s="22">
        <f>'[98]Arc Results'!$I$191</f>
        <v>3063.0000000000005</v>
      </c>
      <c r="AM49" s="22">
        <f>'[98]Arc Results'!$I$81</f>
        <v>2314</v>
      </c>
      <c r="AN49" s="22">
        <f>'[98]Arc Results'!$I$81</f>
        <v>2314</v>
      </c>
      <c r="AP49" s="9">
        <f t="shared" si="10"/>
        <v>1.6666666666666665</v>
      </c>
      <c r="AQ49" s="9">
        <f t="shared" si="11"/>
        <v>1.100000000000001</v>
      </c>
      <c r="AR49" s="9">
        <f t="shared" si="12"/>
        <v>1.0494357148733444</v>
      </c>
      <c r="AS49" s="9">
        <f t="shared" si="13"/>
        <v>1.0044794087945637</v>
      </c>
      <c r="AT49" s="9">
        <f t="shared" si="14"/>
        <v>1.0265498598535805</v>
      </c>
      <c r="AU49" s="9">
        <f t="shared" si="15"/>
        <v>1.0000000000000002</v>
      </c>
      <c r="AV49" s="9">
        <f t="shared" si="16"/>
        <v>1</v>
      </c>
    </row>
    <row r="50" spans="1:48" ht="15.75">
      <c r="A50">
        <f t="shared" si="17"/>
        <v>46</v>
      </c>
      <c r="B50" s="9">
        <v>2020</v>
      </c>
      <c r="C50" s="9" t="s">
        <v>89</v>
      </c>
      <c r="D50" s="9" t="s">
        <v>88</v>
      </c>
      <c r="E50" s="7" t="s">
        <v>6</v>
      </c>
      <c r="F50" s="20" t="s">
        <v>81</v>
      </c>
      <c r="G50" s="7" t="s">
        <v>8</v>
      </c>
      <c r="H50" s="7" t="s">
        <v>9</v>
      </c>
      <c r="I50" s="9" t="s">
        <v>45</v>
      </c>
      <c r="J50" s="9">
        <v>500</v>
      </c>
      <c r="K50" s="9">
        <v>0.8</v>
      </c>
      <c r="L50" s="21">
        <f>'[99]Arc Results'!$I$10960+'[99]Arc Results'!$I$10971+'[99]Arc Results'!$I$10982+'[99]Arc Results'!$I$10993+'[99]Arc Results'!$I$11004+'[99]Arc Results'!$I$11015+'[99]Arc Results'!$I$11026+'[99]Arc Results'!$I$11037+'[99]Arc Results'!$I$11048+'[99]Arc Results'!$I$11059+'[99]Arc Results'!$I$11070+'[99]Arc Results'!$I$11081+'[99]Arc Results'!$I$11092+'[99]Arc Results'!$I$11103+'[99]Arc Results'!$I$11114+'[99]Arc Results'!$I$11125+'[99]Arc Results'!$I$11136+'[99]Arc Results'!$I$11147+'[99]Arc Results'!$I$11158+'[99]Arc Results'!$I$11169+'[99]Arc Results'!$I$11180+'[99]Arc Results'!$I$11191+'[99]Arc Results'!$I$11202+'[99]Arc Results'!$I$11213+'[99]Arc Results'!$I$11224+'[99]Arc Results'!$I$11235+'[99]Arc Results'!$I$11246+'[99]Arc Results'!$I$11257+'[99]Arc Results'!$I$11268</f>
        <v>3207.5189747654176</v>
      </c>
      <c r="M50" s="21">
        <f>'[99]Arc Results'!$I$257</f>
        <v>14223.844769725045</v>
      </c>
      <c r="N50" s="21">
        <f t="shared" ref="N50" si="189">SUM(AG50:AH50)</f>
        <v>5582.843655589124</v>
      </c>
      <c r="O50" s="21">
        <f t="shared" ref="O50" si="190">SUM(AI50:AJ50)</f>
        <v>8829.5317220543802</v>
      </c>
      <c r="P50" s="22">
        <f t="shared" ref="P50" si="191">SUM(AM50:AN50)</f>
        <v>5537.5921450151054</v>
      </c>
      <c r="Q50" s="22">
        <f t="shared" ref="Q50" si="192">SUM(AC50:AD50)</f>
        <v>1274.2997410716212</v>
      </c>
      <c r="R50" s="22">
        <f t="shared" ref="R50" si="193">SUM(AE50:AF50)</f>
        <v>672</v>
      </c>
      <c r="S50" s="22">
        <f t="shared" ref="S50" si="194">SUM(AA50:AB50)</f>
        <v>271.22356495468279</v>
      </c>
      <c r="T50" s="22">
        <f t="shared" ref="T50" si="195">SUM(AK50:AL50)</f>
        <v>6130.0000000000009</v>
      </c>
      <c r="U50" s="39" t="str">
        <f>[99]Log!$K$2</f>
        <v>338.166.135,34</v>
      </c>
      <c r="V50" s="39" t="str">
        <f>[99]Log!$J$2</f>
        <v>88.973.415,72</v>
      </c>
      <c r="W50" s="39" t="str">
        <f>[99]Log!$N$2</f>
        <v>35.380.701,91</v>
      </c>
      <c r="X50" s="23">
        <f t="shared" ref="X50" si="196">SUM(U50:W50)</f>
        <v>0</v>
      </c>
      <c r="Y50" s="22"/>
      <c r="Z50" s="24">
        <f t="shared" ref="Z50" si="197">M50+N50+O50+P50+Q50+R50+S50+T50</f>
        <v>42521.335598409962</v>
      </c>
      <c r="AA50" s="22">
        <f>'[99]Arc Results'!$I$15</f>
        <v>90.407854984894257</v>
      </c>
      <c r="AB50" s="22">
        <f>'[99]Arc Results'!$I$26</f>
        <v>180.81570996978851</v>
      </c>
      <c r="AC50" s="22">
        <f>'[99]Arc Results'!$I$48</f>
        <v>523.05653865470276</v>
      </c>
      <c r="AD50" s="22">
        <f>'[99]Arc Results'!$I$59</f>
        <v>751.24320241691839</v>
      </c>
      <c r="AE50" s="22">
        <f>'[99]Arc Results'!$I$114</f>
        <v>335.7</v>
      </c>
      <c r="AF50" s="22">
        <f>'[99]Arc Results'!$I$125</f>
        <v>336.3</v>
      </c>
      <c r="AG50" s="22">
        <f>'[99]Arc Results'!$I$147</f>
        <v>2775.9478851963745</v>
      </c>
      <c r="AH50" s="22">
        <f>'[99]Arc Results'!$I$158</f>
        <v>2806.8957703927495</v>
      </c>
      <c r="AI50" s="22">
        <f>'[99]Arc Results'!$I$213</f>
        <v>4276.510574018127</v>
      </c>
      <c r="AJ50" s="22">
        <f>'[99]Arc Results'!$I$224</f>
        <v>4553.0211480362541</v>
      </c>
      <c r="AK50" s="22">
        <f>'[99]Arc Results'!$I$180</f>
        <v>3063</v>
      </c>
      <c r="AL50" s="22">
        <f>'[99]Arc Results'!$I$191</f>
        <v>3067.0000000000009</v>
      </c>
      <c r="AM50" s="22">
        <f>'[99]Arc Results'!$I$81</f>
        <v>2768.7960725075527</v>
      </c>
      <c r="AN50" s="22">
        <f>'[99]Arc Results'!$I$81</f>
        <v>2768.7960725075527</v>
      </c>
      <c r="AP50" s="9">
        <f t="shared" si="10"/>
        <v>1.3333333333333333</v>
      </c>
      <c r="AQ50" s="9">
        <f t="shared" si="11"/>
        <v>1.1790682807251631</v>
      </c>
      <c r="AR50" s="9">
        <f t="shared" si="12"/>
        <v>1.0008928571428573</v>
      </c>
      <c r="AS50" s="9">
        <f t="shared" si="13"/>
        <v>1.0055433909859526</v>
      </c>
      <c r="AT50" s="9">
        <f t="shared" si="14"/>
        <v>1.0313165615938</v>
      </c>
      <c r="AU50" s="9">
        <f t="shared" si="15"/>
        <v>1.000652528548124</v>
      </c>
      <c r="AV50" s="9">
        <f t="shared" si="16"/>
        <v>1</v>
      </c>
    </row>
    <row r="51" spans="1:48" ht="15.75">
      <c r="A51">
        <f t="shared" si="17"/>
        <v>47</v>
      </c>
      <c r="B51" s="9">
        <v>2020</v>
      </c>
      <c r="C51" s="9" t="s">
        <v>89</v>
      </c>
      <c r="D51" s="9" t="s">
        <v>88</v>
      </c>
      <c r="E51" s="7" t="s">
        <v>6</v>
      </c>
      <c r="F51" s="20" t="s">
        <v>82</v>
      </c>
      <c r="G51" s="7" t="s">
        <v>8</v>
      </c>
      <c r="H51" s="7" t="s">
        <v>9</v>
      </c>
      <c r="I51" s="9" t="s">
        <v>45</v>
      </c>
      <c r="J51" s="9">
        <v>500</v>
      </c>
      <c r="K51" s="9">
        <v>0.8</v>
      </c>
      <c r="L51" s="21">
        <f>'[100]Arc Results'!$I$10960+'[100]Arc Results'!$I$10971+'[100]Arc Results'!$I$10982+'[100]Arc Results'!$I$10993+'[100]Arc Results'!$I$11004+'[100]Arc Results'!$I$11015+'[100]Arc Results'!$I$11026+'[100]Arc Results'!$I$11037+'[100]Arc Results'!$I$11048+'[100]Arc Results'!$I$11059+'[100]Arc Results'!$I$11070+'[100]Arc Results'!$I$11081+'[100]Arc Results'!$I$11092+'[100]Arc Results'!$I$11103+'[100]Arc Results'!$I$11114+'[100]Arc Results'!$I$11125+'[100]Arc Results'!$I$11136+'[100]Arc Results'!$I$11147+'[100]Arc Results'!$I$11158+'[100]Arc Results'!$I$11169+'[100]Arc Results'!$I$11180+'[100]Arc Results'!$I$11191+'[100]Arc Results'!$I$11202+'[100]Arc Results'!$I$11213+'[100]Arc Results'!$I$11224+'[100]Arc Results'!$I$11235+'[100]Arc Results'!$I$11246+'[100]Arc Results'!$I$11257+'[100]Arc Results'!$I$11268</f>
        <v>3170.4988409445509</v>
      </c>
      <c r="M51" s="21">
        <f>'[100]Arc Results'!$I$257</f>
        <v>14223.844769725043</v>
      </c>
      <c r="N51" s="21">
        <f t="shared" ref="N51" si="198">SUM(AG51:AH51)</f>
        <v>5490</v>
      </c>
      <c r="O51" s="21">
        <f t="shared" ref="O51" si="199">SUM(AI51:AJ51)</f>
        <v>8922.2019314039462</v>
      </c>
      <c r="P51" s="22">
        <f t="shared" ref="P51" si="200">SUM(AM51:AN51)</f>
        <v>5537.5921450151054</v>
      </c>
      <c r="Q51" s="22">
        <f t="shared" ref="Q51" si="201">SUM(AC51:AD51)</f>
        <v>1360.8134441087614</v>
      </c>
      <c r="R51" s="22">
        <f t="shared" ref="R51" si="202">SUM(AE51:AF51)</f>
        <v>453.87915407854985</v>
      </c>
      <c r="S51" s="22">
        <f t="shared" ref="S51" si="203">SUM(AA51:AB51)</f>
        <v>289.30513595166161</v>
      </c>
      <c r="T51" s="22">
        <f t="shared" ref="T51" si="204">SUM(AK51:AL51)</f>
        <v>6130.0000000000009</v>
      </c>
      <c r="U51" s="39" t="str">
        <f>[100]Log!$K$2</f>
        <v>356.417.712,14</v>
      </c>
      <c r="V51" s="39" t="str">
        <f>[100]Log!$J$2</f>
        <v>88.973.415,72</v>
      </c>
      <c r="W51" s="39" t="str">
        <f>[100]Log!$N$2</f>
        <v>35.380.701,91</v>
      </c>
      <c r="X51" s="23">
        <f t="shared" ref="X51" si="205">SUM(U51:W51)</f>
        <v>0</v>
      </c>
      <c r="Y51" s="22"/>
      <c r="Z51" s="24">
        <f t="shared" ref="Z51" si="206">M51+N51+O51+P51+Q51+R51+S51+T51</f>
        <v>42407.63658028307</v>
      </c>
      <c r="AA51" s="22">
        <f>'[100]Arc Results'!$I$15</f>
        <v>108.48942598187311</v>
      </c>
      <c r="AB51" s="22">
        <f>'[100]Arc Results'!$I$26</f>
        <v>180.81570996978851</v>
      </c>
      <c r="AC51" s="22">
        <f>'[100]Arc Results'!$I$48</f>
        <v>562.34592145015108</v>
      </c>
      <c r="AD51" s="22">
        <f>'[100]Arc Results'!$I$59</f>
        <v>798.46752265861028</v>
      </c>
      <c r="AE51" s="22">
        <f>'[100]Arc Results'!$I$114</f>
        <v>216.95468277945619</v>
      </c>
      <c r="AF51" s="22">
        <f>'[100]Arc Results'!$I$125</f>
        <v>236.92447129909365</v>
      </c>
      <c r="AG51" s="22">
        <f>'[100]Arc Results'!$I$147</f>
        <v>2745</v>
      </c>
      <c r="AH51" s="22">
        <f>'[100]Arc Results'!$I$158</f>
        <v>2745</v>
      </c>
      <c r="AI51" s="22">
        <f>'[100]Arc Results'!$I$213</f>
        <v>4331.8126888217521</v>
      </c>
      <c r="AJ51" s="22">
        <f>'[100]Arc Results'!$I$224</f>
        <v>4590.3892425821941</v>
      </c>
      <c r="AK51" s="22">
        <f>'[100]Arc Results'!$I$180</f>
        <v>3063</v>
      </c>
      <c r="AL51" s="22">
        <f>'[100]Arc Results'!$I$191</f>
        <v>3067.0000000000009</v>
      </c>
      <c r="AM51" s="22">
        <f>'[100]Arc Results'!$I$81</f>
        <v>2768.7960725075527</v>
      </c>
      <c r="AN51" s="22">
        <f>'[100]Arc Results'!$I$81</f>
        <v>2768.7960725075527</v>
      </c>
      <c r="AP51" s="9">
        <f t="shared" si="10"/>
        <v>1.25</v>
      </c>
      <c r="AQ51" s="9">
        <f t="shared" si="11"/>
        <v>1.1735150414854274</v>
      </c>
      <c r="AR51" s="9">
        <f t="shared" si="12"/>
        <v>1.0439980297402718</v>
      </c>
      <c r="AS51" s="9">
        <f t="shared" si="13"/>
        <v>1</v>
      </c>
      <c r="AT51" s="9">
        <f t="shared" si="14"/>
        <v>1.0289812487711487</v>
      </c>
      <c r="AU51" s="9">
        <f t="shared" si="15"/>
        <v>1.000652528548124</v>
      </c>
      <c r="AV51" s="9">
        <f t="shared" si="16"/>
        <v>1</v>
      </c>
    </row>
    <row r="52" spans="1:48" ht="15.75">
      <c r="A52">
        <f t="shared" si="17"/>
        <v>48</v>
      </c>
      <c r="B52" s="9">
        <v>2020</v>
      </c>
      <c r="C52" s="9" t="s">
        <v>89</v>
      </c>
      <c r="D52" s="9" t="s">
        <v>88</v>
      </c>
      <c r="E52" s="7" t="s">
        <v>6</v>
      </c>
      <c r="F52" s="20" t="s">
        <v>83</v>
      </c>
      <c r="G52" s="7" t="s">
        <v>8</v>
      </c>
      <c r="H52" s="7" t="s">
        <v>9</v>
      </c>
      <c r="I52" s="9" t="s">
        <v>45</v>
      </c>
      <c r="J52" s="9">
        <v>500</v>
      </c>
      <c r="K52" s="9">
        <v>0.8</v>
      </c>
      <c r="L52" s="21">
        <f>'[101]Arc Results'!$I$10960+'[101]Arc Results'!$I$10971+'[101]Arc Results'!$I$10982+'[101]Arc Results'!$I$10993+'[101]Arc Results'!$I$11004+'[101]Arc Results'!$I$11015+'[101]Arc Results'!$I$11026+'[101]Arc Results'!$I$11037+'[101]Arc Results'!$I$11048+'[101]Arc Results'!$I$11059+'[101]Arc Results'!$I$11070+'[101]Arc Results'!$I$11081+'[101]Arc Results'!$I$11092+'[101]Arc Results'!$I$11103+'[101]Arc Results'!$I$11114+'[101]Arc Results'!$I$11125+'[101]Arc Results'!$I$11136+'[101]Arc Results'!$I$11147+'[101]Arc Results'!$I$11158+'[101]Arc Results'!$I$11169+'[101]Arc Results'!$I$11180+'[101]Arc Results'!$I$11191+'[101]Arc Results'!$I$11202+'[101]Arc Results'!$I$11213+'[101]Arc Results'!$I$11224+'[101]Arc Results'!$I$11235+'[101]Arc Results'!$I$11246+'[101]Arc Results'!$I$11257+'[101]Arc Results'!$I$11268</f>
        <v>3289.3548508983467</v>
      </c>
      <c r="M52" s="21">
        <f>'[101]Arc Results'!$I$257</f>
        <v>14223.844769725049</v>
      </c>
      <c r="N52" s="21">
        <f t="shared" ref="N52" si="207">SUM(AG52:AH52)</f>
        <v>5619.9811178247728</v>
      </c>
      <c r="O52" s="21">
        <f t="shared" ref="O52" si="208">SUM(AI52:AJ52)</f>
        <v>8000</v>
      </c>
      <c r="P52" s="22">
        <f t="shared" ref="P52" si="209">SUM(AM52:AN52)</f>
        <v>5992.388217522659</v>
      </c>
      <c r="Q52" s="22">
        <f t="shared" ref="Q52" si="210">SUM(AC52:AD52)</f>
        <v>1582.8680945459409</v>
      </c>
      <c r="R52" s="22">
        <f t="shared" ref="R52" si="211">SUM(AE52:AF52)</f>
        <v>478.84138972809666</v>
      </c>
      <c r="S52" s="22">
        <f t="shared" ref="S52" si="212">SUM(AA52:AB52)</f>
        <v>379.71299093655591</v>
      </c>
      <c r="T52" s="22">
        <f t="shared" ref="T52" si="213">SUM(AK52:AL52)</f>
        <v>6130</v>
      </c>
      <c r="U52" s="39" t="str">
        <f>[101]Log!$K$2</f>
        <v>364.405.526,11</v>
      </c>
      <c r="V52" s="39" t="str">
        <f>[101]Log!$J$2</f>
        <v>88.973.415,72</v>
      </c>
      <c r="W52" s="39" t="str">
        <f>[101]Log!$N$2</f>
        <v>35.380.701,91</v>
      </c>
      <c r="X52" s="23">
        <f t="shared" ref="X52" si="214">SUM(U52:W52)</f>
        <v>0</v>
      </c>
      <c r="Y52" s="22"/>
      <c r="Z52" s="24">
        <f t="shared" ref="Z52" si="215">M52+N52+O52+P52+Q52+R52+S52+T52</f>
        <v>42407.636580283077</v>
      </c>
      <c r="AA52" s="22">
        <f>'[101]Arc Results'!$I$15</f>
        <v>144.65256797583081</v>
      </c>
      <c r="AB52" s="22">
        <f>'[101]Arc Results'!$I$26</f>
        <v>235.06042296072508</v>
      </c>
      <c r="AC52" s="22">
        <f>'[101]Arc Results'!$I$48</f>
        <v>689.9519314039469</v>
      </c>
      <c r="AD52" s="22">
        <f>'[101]Arc Results'!$I$59</f>
        <v>892.91616314199393</v>
      </c>
      <c r="AE52" s="22">
        <f>'[101]Arc Results'!$I$114</f>
        <v>226.93957703927492</v>
      </c>
      <c r="AF52" s="22">
        <f>'[101]Arc Results'!$I$125</f>
        <v>251.90181268882174</v>
      </c>
      <c r="AG52" s="22">
        <f>'[101]Arc Results'!$I$147</f>
        <v>2794.5166163141994</v>
      </c>
      <c r="AH52" s="22">
        <f>'[101]Arc Results'!$I$158</f>
        <v>2825.4645015105739</v>
      </c>
      <c r="AI52" s="22">
        <f>'[101]Arc Results'!$I$213</f>
        <v>4000</v>
      </c>
      <c r="AJ52" s="22">
        <f>'[101]Arc Results'!$I$224</f>
        <v>4000.0000000000005</v>
      </c>
      <c r="AK52" s="22">
        <f>'[101]Arc Results'!$I$180</f>
        <v>3063</v>
      </c>
      <c r="AL52" s="22">
        <f>'[101]Arc Results'!$I$191</f>
        <v>3067.0000000000005</v>
      </c>
      <c r="AM52" s="22">
        <f>'[101]Arc Results'!$I$81</f>
        <v>2996.1941087613295</v>
      </c>
      <c r="AN52" s="22">
        <f>'[101]Arc Results'!$I$81</f>
        <v>2996.1941087613295</v>
      </c>
      <c r="AP52" s="9">
        <f t="shared" si="10"/>
        <v>1.2380952380952381</v>
      </c>
      <c r="AQ52" s="9">
        <f t="shared" si="11"/>
        <v>1.1282256130105832</v>
      </c>
      <c r="AR52" s="9">
        <f t="shared" si="12"/>
        <v>1.05213048868587</v>
      </c>
      <c r="AS52" s="9">
        <f t="shared" si="13"/>
        <v>1.0055067596398533</v>
      </c>
      <c r="AT52" s="9">
        <f t="shared" si="14"/>
        <v>1.0000000000000002</v>
      </c>
      <c r="AU52" s="9">
        <f t="shared" si="15"/>
        <v>1.000652528548124</v>
      </c>
      <c r="AV52" s="9">
        <f t="shared" si="16"/>
        <v>1</v>
      </c>
    </row>
    <row r="53" spans="1:48" ht="15.75">
      <c r="A53">
        <f t="shared" si="17"/>
        <v>49</v>
      </c>
      <c r="B53" s="9">
        <v>2020</v>
      </c>
      <c r="C53" s="9" t="s">
        <v>89</v>
      </c>
      <c r="D53" s="9" t="s">
        <v>88</v>
      </c>
      <c r="E53" s="7" t="s">
        <v>6</v>
      </c>
      <c r="F53" s="20" t="s">
        <v>84</v>
      </c>
      <c r="G53" s="7" t="s">
        <v>8</v>
      </c>
      <c r="H53" s="7" t="s">
        <v>9</v>
      </c>
      <c r="I53" s="9" t="s">
        <v>45</v>
      </c>
      <c r="J53" s="9">
        <v>500</v>
      </c>
      <c r="K53" s="9">
        <v>0.8</v>
      </c>
      <c r="L53" s="21">
        <f>'[102]Arc Results'!$I$10960+'[102]Arc Results'!$I$10971+'[102]Arc Results'!$I$10982+'[102]Arc Results'!$I$10993+'[102]Arc Results'!$I$11004+'[102]Arc Results'!$I$11015+'[102]Arc Results'!$I$11026+'[102]Arc Results'!$I$11037+'[102]Arc Results'!$I$11048+'[102]Arc Results'!$I$11059+'[102]Arc Results'!$I$11070+'[102]Arc Results'!$I$11081+'[102]Arc Results'!$I$11092+'[102]Arc Results'!$I$11103+'[102]Arc Results'!$I$11114+'[102]Arc Results'!$I$11125+'[102]Arc Results'!$I$11136+'[102]Arc Results'!$I$11147+'[102]Arc Results'!$I$11158+'[102]Arc Results'!$I$11169+'[102]Arc Results'!$I$11180+'[102]Arc Results'!$I$11191+'[102]Arc Results'!$I$11202+'[102]Arc Results'!$I$11213+'[102]Arc Results'!$I$11224+'[102]Arc Results'!$I$11235+'[102]Arc Results'!$I$11246+'[102]Arc Results'!$I$11257+'[102]Arc Results'!$I$11268</f>
        <v>3425.7464672125475</v>
      </c>
      <c r="M53" s="21">
        <f>'[102]Arc Results'!$I$257</f>
        <v>14223.844769725045</v>
      </c>
      <c r="N53" s="21">
        <f t="shared" ref="N53" si="216">SUM(AG53:AH53)</f>
        <v>5657.1185800604235</v>
      </c>
      <c r="O53" s="21">
        <f t="shared" ref="O53" si="217">SUM(AI53:AJ53)</f>
        <v>9493.1570996978844</v>
      </c>
      <c r="P53" s="22">
        <f t="shared" ref="P53" si="218">SUM(AM53:AN53)</f>
        <v>4628</v>
      </c>
      <c r="Q53" s="22">
        <f t="shared" ref="Q53" si="219">SUM(AC53:AD53)</f>
        <v>1847.0127320081765</v>
      </c>
      <c r="R53" s="22">
        <f t="shared" ref="R53" si="220">SUM(AE53:AF53)</f>
        <v>508.79607250755282</v>
      </c>
      <c r="S53" s="22">
        <f t="shared" ref="S53" si="221">SUM(AA53:AB53)</f>
        <v>488.20241691842898</v>
      </c>
      <c r="T53" s="22">
        <f t="shared" ref="T53" si="222">SUM(AK53:AL53)</f>
        <v>6130</v>
      </c>
      <c r="U53" s="39" t="str">
        <f>[102]Log!$K$2</f>
        <v>354.737.724,04</v>
      </c>
      <c r="V53" s="39" t="str">
        <f>[102]Log!$J$2</f>
        <v>88.973.415,72</v>
      </c>
      <c r="W53" s="39" t="str">
        <f>[102]Log!$N$2</f>
        <v>35.380.701,91</v>
      </c>
      <c r="X53" s="23">
        <f t="shared" ref="X53" si="223">SUM(U53:W53)</f>
        <v>0</v>
      </c>
      <c r="Y53" s="22"/>
      <c r="Z53" s="24">
        <f t="shared" ref="Z53" si="224">M53+N53+O53+P53+Q53+R53+S53+T53</f>
        <v>42976.131670917508</v>
      </c>
      <c r="AA53" s="22">
        <f>'[102]Arc Results'!$I$15</f>
        <v>198.89728096676737</v>
      </c>
      <c r="AB53" s="22">
        <f>'[102]Arc Results'!$I$26</f>
        <v>289.30513595166161</v>
      </c>
      <c r="AC53" s="22">
        <f>'[102]Arc Results'!$I$48</f>
        <v>812.42360814110714</v>
      </c>
      <c r="AD53" s="22">
        <f>'[102]Arc Results'!$I$59</f>
        <v>1034.5891238670695</v>
      </c>
      <c r="AE53" s="22">
        <f>'[102]Arc Results'!$I$114</f>
        <v>241.916918429003</v>
      </c>
      <c r="AF53" s="22">
        <f>'[102]Arc Results'!$I$125</f>
        <v>266.87915407854985</v>
      </c>
      <c r="AG53" s="22">
        <f>'[102]Arc Results'!$I$147</f>
        <v>2813.0853474320243</v>
      </c>
      <c r="AH53" s="22">
        <f>'[102]Arc Results'!$I$158</f>
        <v>2844.0332326283988</v>
      </c>
      <c r="AI53" s="22">
        <f>'[102]Arc Results'!$I$213</f>
        <v>4608.3232628398791</v>
      </c>
      <c r="AJ53" s="22">
        <f>'[102]Arc Results'!$I$224</f>
        <v>4884.8338368580062</v>
      </c>
      <c r="AK53" s="22">
        <f>'[102]Arc Results'!$I$180</f>
        <v>3063</v>
      </c>
      <c r="AL53" s="22">
        <f>'[102]Arc Results'!$I$191</f>
        <v>3067</v>
      </c>
      <c r="AM53" s="22">
        <f>'[102]Arc Results'!$I$81</f>
        <v>2314</v>
      </c>
      <c r="AN53" s="22">
        <f>'[102]Arc Results'!$I$81</f>
        <v>2314</v>
      </c>
      <c r="AP53" s="9">
        <f t="shared" si="10"/>
        <v>1.1851851851851851</v>
      </c>
      <c r="AQ53" s="9">
        <f t="shared" si="11"/>
        <v>1.1202836947877515</v>
      </c>
      <c r="AR53" s="9">
        <f t="shared" si="12"/>
        <v>1.0490613764499457</v>
      </c>
      <c r="AS53" s="9">
        <f t="shared" si="13"/>
        <v>1.0054706092436272</v>
      </c>
      <c r="AT53" s="9">
        <f t="shared" si="14"/>
        <v>1.0291273568017669</v>
      </c>
      <c r="AU53" s="9">
        <f t="shared" si="15"/>
        <v>1.000652528548124</v>
      </c>
      <c r="AV53" s="9">
        <f t="shared" si="16"/>
        <v>1</v>
      </c>
    </row>
    <row r="54" spans="1:48" ht="15.75">
      <c r="A54">
        <f t="shared" si="17"/>
        <v>50</v>
      </c>
      <c r="B54" s="9">
        <v>2020</v>
      </c>
      <c r="C54" s="9" t="s">
        <v>89</v>
      </c>
      <c r="D54" s="9" t="s">
        <v>88</v>
      </c>
      <c r="E54" s="7" t="s">
        <v>6</v>
      </c>
      <c r="F54" s="20" t="s">
        <v>85</v>
      </c>
      <c r="G54" s="7" t="s">
        <v>8</v>
      </c>
      <c r="H54" s="7" t="s">
        <v>9</v>
      </c>
      <c r="I54" s="9" t="s">
        <v>45</v>
      </c>
      <c r="J54" s="9">
        <v>500</v>
      </c>
      <c r="K54" s="9">
        <v>0.8</v>
      </c>
      <c r="L54" s="21">
        <f>'[103]Arc Results'!$I$10960+'[103]Arc Results'!$I$10971+'[103]Arc Results'!$I$10982+'[103]Arc Results'!$I$10993+'[103]Arc Results'!$I$11004+'[103]Arc Results'!$I$11015+'[103]Arc Results'!$I$11026+'[103]Arc Results'!$I$11037+'[103]Arc Results'!$I$11048+'[103]Arc Results'!$I$11059+'[103]Arc Results'!$I$11070+'[103]Arc Results'!$I$11081+'[103]Arc Results'!$I$11092+'[103]Arc Results'!$I$11103+'[103]Arc Results'!$I$11114+'[103]Arc Results'!$I$11125+'[103]Arc Results'!$I$11136+'[103]Arc Results'!$I$11147+'[103]Arc Results'!$I$11158+'[103]Arc Results'!$I$11169+'[103]Arc Results'!$I$11180+'[103]Arc Results'!$I$11191+'[103]Arc Results'!$I$11202+'[103]Arc Results'!$I$11213+'[103]Arc Results'!$I$11224+'[103]Arc Results'!$I$11235+'[103]Arc Results'!$I$11246+'[103]Arc Results'!$I$11257+'[103]Arc Results'!$I$11268</f>
        <v>3260.3027360947226</v>
      </c>
      <c r="M54" s="21">
        <f>'[103]Arc Results'!$I$257</f>
        <v>14223.84476972505</v>
      </c>
      <c r="N54" s="21">
        <f t="shared" ref="N54" si="225">SUM(AG54:AH54)</f>
        <v>5595.2228096676736</v>
      </c>
      <c r="O54" s="21">
        <f t="shared" ref="O54" si="226">SUM(AI54:AJ54)</f>
        <v>8940.368472189446</v>
      </c>
      <c r="P54" s="22">
        <f t="shared" ref="P54" si="227">SUM(AM54:AN54)</f>
        <v>5764.9901812688822</v>
      </c>
      <c r="Q54" s="22">
        <f t="shared" ref="Q54" si="228">SUM(AC54:AD54)</f>
        <v>1408.037764350453</v>
      </c>
      <c r="R54" s="22">
        <f t="shared" ref="R54" si="229">SUM(AE54:AF54)</f>
        <v>458.8716012084592</v>
      </c>
      <c r="S54" s="22">
        <f t="shared" ref="S54" si="230">SUM(AA54:AB54)</f>
        <v>0</v>
      </c>
      <c r="T54" s="22">
        <f t="shared" ref="T54" si="231">SUM(AK54:AL54)</f>
        <v>6130</v>
      </c>
      <c r="U54" s="39" t="str">
        <f>[103]Log!$K$2</f>
        <v>340.131.074,39</v>
      </c>
      <c r="V54" s="39" t="str">
        <f>[103]Log!$J$2</f>
        <v>88.973.415,72</v>
      </c>
      <c r="W54" s="39" t="str">
        <f>[103]Log!$N$2</f>
        <v>35.380.701,91</v>
      </c>
      <c r="X54" s="23">
        <f t="shared" ref="X54" si="232">SUM(U54:W54)</f>
        <v>0</v>
      </c>
      <c r="Y54" s="22"/>
      <c r="Z54" s="24">
        <f t="shared" ref="Z54" si="233">M54+N54+O54+P54+Q54+R54+S54+T54</f>
        <v>42521.335598409969</v>
      </c>
      <c r="AA54" s="22">
        <f>'[103]Arc Results'!$I$15</f>
        <v>0</v>
      </c>
      <c r="AB54" s="22">
        <f>'[103]Arc Results'!$I$26</f>
        <v>0</v>
      </c>
      <c r="AC54" s="22">
        <f>'[103]Arc Results'!$I$48</f>
        <v>609.57024169184285</v>
      </c>
      <c r="AD54" s="22">
        <f>'[103]Arc Results'!$I$59</f>
        <v>798.46752265861028</v>
      </c>
      <c r="AE54" s="22">
        <f>'[103]Arc Results'!$I$114</f>
        <v>216.95468277945619</v>
      </c>
      <c r="AF54" s="22">
        <f>'[103]Arc Results'!$I$125</f>
        <v>241.916918429003</v>
      </c>
      <c r="AG54" s="22">
        <f>'[103]Arc Results'!$I$147</f>
        <v>2782.1374622356498</v>
      </c>
      <c r="AH54" s="22">
        <f>'[103]Arc Results'!$I$158</f>
        <v>2813.0853474320243</v>
      </c>
      <c r="AI54" s="22">
        <f>'[103]Arc Results'!$I$213</f>
        <v>4332.0452093495669</v>
      </c>
      <c r="AJ54" s="22">
        <f>'[103]Arc Results'!$I$224</f>
        <v>4608.3232628398791</v>
      </c>
      <c r="AK54" s="22">
        <f>'[103]Arc Results'!$I$180</f>
        <v>3063</v>
      </c>
      <c r="AL54" s="22">
        <f>'[103]Arc Results'!$I$191</f>
        <v>3067</v>
      </c>
      <c r="AM54" s="22">
        <f>'[103]Arc Results'!$I$81</f>
        <v>2882.4950906344411</v>
      </c>
      <c r="AN54" s="22">
        <f>'[103]Arc Results'!$I$81</f>
        <v>2882.4950906344411</v>
      </c>
      <c r="AP54" s="9" t="e">
        <f t="shared" si="10"/>
        <v>#DIV/0!</v>
      </c>
      <c r="AQ54" s="9">
        <f t="shared" si="11"/>
        <v>1.134156402441314</v>
      </c>
      <c r="AR54" s="9">
        <f t="shared" si="12"/>
        <v>1.0543991730667308</v>
      </c>
      <c r="AS54" s="9">
        <f t="shared" si="13"/>
        <v>1.0055311265072235</v>
      </c>
      <c r="AT54" s="9">
        <f t="shared" si="14"/>
        <v>1.0309023117279474</v>
      </c>
      <c r="AU54" s="9">
        <f t="shared" si="15"/>
        <v>1.000652528548124</v>
      </c>
      <c r="AV54" s="9">
        <f t="shared" si="16"/>
        <v>1</v>
      </c>
    </row>
    <row r="55" spans="1:48" ht="15.75">
      <c r="A55">
        <f t="shared" si="17"/>
        <v>51</v>
      </c>
      <c r="B55" s="9">
        <v>2020</v>
      </c>
      <c r="C55" s="9" t="s">
        <v>89</v>
      </c>
      <c r="D55" s="9" t="s">
        <v>88</v>
      </c>
      <c r="E55" s="7" t="s">
        <v>6</v>
      </c>
      <c r="F55" s="20" t="s">
        <v>86</v>
      </c>
      <c r="G55" s="7" t="s">
        <v>8</v>
      </c>
      <c r="H55" s="7" t="s">
        <v>9</v>
      </c>
      <c r="I55" s="9" t="s">
        <v>45</v>
      </c>
      <c r="J55" s="9">
        <v>500</v>
      </c>
      <c r="K55" s="9">
        <v>0.8</v>
      </c>
      <c r="L55" s="21">
        <f>'[104]Arc Results'!$I$10960+'[104]Arc Results'!$I$10971+'[104]Arc Results'!$I$10982+'[104]Arc Results'!$I$10993+'[104]Arc Results'!$I$11004+'[104]Arc Results'!$I$11015+'[104]Arc Results'!$I$11026+'[104]Arc Results'!$I$11037+'[104]Arc Results'!$I$11048+'[104]Arc Results'!$I$11059+'[104]Arc Results'!$I$11070+'[104]Arc Results'!$I$11081+'[104]Arc Results'!$I$11092+'[104]Arc Results'!$I$11103+'[104]Arc Results'!$I$11114+'[104]Arc Results'!$I$11125+'[104]Arc Results'!$I$11136+'[104]Arc Results'!$I$11147+'[104]Arc Results'!$I$11158+'[104]Arc Results'!$I$11169+'[104]Arc Results'!$I$11180+'[104]Arc Results'!$I$11191+'[104]Arc Results'!$I$11202+'[104]Arc Results'!$I$11213+'[104]Arc Results'!$I$11224+'[104]Arc Results'!$I$11235+'[104]Arc Results'!$I$11246+'[104]Arc Results'!$I$11257+'[104]Arc Results'!$I$11268</f>
        <v>3320.8198379234036</v>
      </c>
      <c r="M55" s="21">
        <f>'[104]Arc Results'!$I$257</f>
        <v>14223.844769725034</v>
      </c>
      <c r="N55" s="21">
        <f t="shared" ref="N55" si="234">SUM(AG55:AH55)</f>
        <v>5613.791540785498</v>
      </c>
      <c r="O55" s="21">
        <f t="shared" ref="O55" si="235">SUM(AI55:AJ55)</f>
        <v>9106.0422960725082</v>
      </c>
      <c r="P55" s="22">
        <f t="shared" ref="P55" si="236">SUM(AM55:AN55)</f>
        <v>5992.388217522659</v>
      </c>
      <c r="Q55" s="22">
        <f t="shared" ref="Q55" si="237">SUM(AC55:AD55)</f>
        <v>558</v>
      </c>
      <c r="R55" s="22">
        <f t="shared" ref="R55" si="238">SUM(AE55:AF55)</f>
        <v>473.84894259818731</v>
      </c>
      <c r="S55" s="22">
        <f t="shared" ref="S55" si="239">SUM(AA55:AB55)</f>
        <v>361.63141993957703</v>
      </c>
      <c r="T55" s="22">
        <f t="shared" ref="T55" si="240">SUM(AK55:AL55)</f>
        <v>6130</v>
      </c>
      <c r="U55" s="39" t="str">
        <f>[104]Log!$K$2</f>
        <v>342.104.967,73</v>
      </c>
      <c r="V55" s="39" t="str">
        <f>[104]Log!$J$2</f>
        <v>88.973.415,72</v>
      </c>
      <c r="W55" s="39" t="str">
        <f>[104]Log!$N$2</f>
        <v>35.380.701,91</v>
      </c>
      <c r="X55" s="23">
        <f t="shared" ref="X55" si="241">SUM(U55:W55)</f>
        <v>0</v>
      </c>
      <c r="Y55" s="22"/>
      <c r="Z55" s="24">
        <f t="shared" ref="Z55" si="242">M55+N55+O55+P55+Q55+R55+S55+T55</f>
        <v>42459.547186643467</v>
      </c>
      <c r="AA55" s="22">
        <f>'[104]Arc Results'!$I$15</f>
        <v>144.65256797583081</v>
      </c>
      <c r="AB55" s="22">
        <f>'[104]Arc Results'!$I$26</f>
        <v>216.97885196374622</v>
      </c>
      <c r="AC55" s="22">
        <f>'[104]Arc Results'!$I$48</f>
        <v>279</v>
      </c>
      <c r="AD55" s="22">
        <f>'[104]Arc Results'!$I$59</f>
        <v>279.00000000000006</v>
      </c>
      <c r="AE55" s="22">
        <f>'[104]Arc Results'!$I$114</f>
        <v>226.93957703927492</v>
      </c>
      <c r="AF55" s="22">
        <f>'[104]Arc Results'!$I$125</f>
        <v>246.90936555891238</v>
      </c>
      <c r="AG55" s="22">
        <f>'[104]Arc Results'!$I$147</f>
        <v>2794.5166163141994</v>
      </c>
      <c r="AH55" s="22">
        <f>'[104]Arc Results'!$I$158</f>
        <v>2819.2749244712991</v>
      </c>
      <c r="AI55" s="22">
        <f>'[104]Arc Results'!$I$213</f>
        <v>4442.4169184290031</v>
      </c>
      <c r="AJ55" s="22">
        <f>'[104]Arc Results'!$I$224</f>
        <v>4663.6253776435042</v>
      </c>
      <c r="AK55" s="22">
        <f>'[104]Arc Results'!$I$180</f>
        <v>3063</v>
      </c>
      <c r="AL55" s="22">
        <f>'[104]Arc Results'!$I$191</f>
        <v>3067.0000000000005</v>
      </c>
      <c r="AM55" s="22">
        <f>'[104]Arc Results'!$I$81</f>
        <v>2996.1941087613295</v>
      </c>
      <c r="AN55" s="22">
        <f>'[104]Arc Results'!$I$81</f>
        <v>2996.1941087613295</v>
      </c>
      <c r="AP55" s="9">
        <f t="shared" si="10"/>
        <v>1.2</v>
      </c>
      <c r="AQ55" s="9">
        <f t="shared" si="11"/>
        <v>1.0000000000000002</v>
      </c>
      <c r="AR55" s="9">
        <f t="shared" si="12"/>
        <v>1.0421437861824487</v>
      </c>
      <c r="AS55" s="9">
        <f t="shared" si="13"/>
        <v>1.0044102649657054</v>
      </c>
      <c r="AT55" s="9">
        <f t="shared" si="14"/>
        <v>1.0242924919544805</v>
      </c>
      <c r="AU55" s="9">
        <f t="shared" si="15"/>
        <v>1.000652528548124</v>
      </c>
      <c r="AV55" s="9">
        <f t="shared" si="16"/>
        <v>1</v>
      </c>
    </row>
    <row r="56" spans="1:48" ht="15.75">
      <c r="A56">
        <f t="shared" si="17"/>
        <v>52</v>
      </c>
      <c r="B56" s="9">
        <v>2020</v>
      </c>
      <c r="C56" s="9" t="s">
        <v>89</v>
      </c>
      <c r="D56" s="9" t="s">
        <v>88</v>
      </c>
      <c r="E56" s="7" t="s">
        <v>6</v>
      </c>
      <c r="F56" s="20" t="s">
        <v>87</v>
      </c>
      <c r="G56" s="7" t="s">
        <v>8</v>
      </c>
      <c r="H56" s="7" t="s">
        <v>9</v>
      </c>
      <c r="I56" s="9" t="s">
        <v>45</v>
      </c>
      <c r="J56" s="9">
        <v>500</v>
      </c>
      <c r="K56" s="9">
        <v>0.8</v>
      </c>
      <c r="L56" s="21">
        <f>'[105]Arc Results'!$I$10960+'[105]Arc Results'!$I$10971+'[105]Arc Results'!$I$10982+'[105]Arc Results'!$I$10993+'[105]Arc Results'!$I$11004+'[105]Arc Results'!$I$11015+'[105]Arc Results'!$I$11026+'[105]Arc Results'!$I$11037+'[105]Arc Results'!$I$11048+'[105]Arc Results'!$I$11059+'[105]Arc Results'!$I$11070+'[105]Arc Results'!$I$11081+'[105]Arc Results'!$I$11092+'[105]Arc Results'!$I$11103+'[105]Arc Results'!$I$11114+'[105]Arc Results'!$I$11125+'[105]Arc Results'!$I$11136+'[105]Arc Results'!$I$11147+'[105]Arc Results'!$I$11158+'[105]Arc Results'!$I$11169+'[105]Arc Results'!$I$11180+'[105]Arc Results'!$I$11191+'[105]Arc Results'!$I$11202+'[105]Arc Results'!$I$11213+'[105]Arc Results'!$I$11224+'[105]Arc Results'!$I$11235+'[105]Arc Results'!$I$11246+'[105]Arc Results'!$I$11257+'[105]Arc Results'!$I$11268</f>
        <v>3177.6816204007459</v>
      </c>
      <c r="M56" s="21">
        <f>'[105]Arc Results'!$I$257</f>
        <v>14223.844769725039</v>
      </c>
      <c r="N56" s="21">
        <f t="shared" ref="N56" si="243">SUM(AG56:AH56)</f>
        <v>5589.0332326283988</v>
      </c>
      <c r="O56" s="21">
        <f t="shared" ref="O56" si="244">SUM(AI56:AJ56)</f>
        <v>8903.0478528540953</v>
      </c>
      <c r="P56" s="22">
        <f t="shared" ref="P56" si="245">SUM(AM56:AN56)</f>
        <v>5537.5921450151054</v>
      </c>
      <c r="Q56" s="22">
        <f t="shared" ref="Q56" si="246">SUM(AC56:AD56)</f>
        <v>1360.8134441087614</v>
      </c>
      <c r="R56" s="22">
        <f t="shared" ref="R56" si="247">SUM(AE56:AF56)</f>
        <v>374.00000000000017</v>
      </c>
      <c r="S56" s="22">
        <f t="shared" ref="S56" si="248">SUM(AA56:AB56)</f>
        <v>289.30513595166161</v>
      </c>
      <c r="T56" s="22">
        <f t="shared" ref="T56" si="249">SUM(AK56:AL56)</f>
        <v>6130.0000000000009</v>
      </c>
      <c r="U56" s="39" t="str">
        <f>[105]Log!$K$2</f>
        <v>341.162.184,25</v>
      </c>
      <c r="V56" s="39" t="str">
        <f>[105]Log!$J$2</f>
        <v>88.973.415,72</v>
      </c>
      <c r="W56" s="39" t="str">
        <f>[105]Log!$N$2</f>
        <v>35.380.701,91</v>
      </c>
      <c r="X56" s="23">
        <f t="shared" ref="X56" si="250">SUM(U56:W56)</f>
        <v>0</v>
      </c>
      <c r="Y56" s="22"/>
      <c r="Z56" s="24">
        <f t="shared" ref="Z56" si="251">M56+N56+O56+P56+Q56+R56+S56+T56</f>
        <v>42407.636580283062</v>
      </c>
      <c r="AA56" s="22">
        <f>'[105]Arc Results'!$I$15</f>
        <v>108.48942598187311</v>
      </c>
      <c r="AB56" s="22">
        <f>'[105]Arc Results'!$I$26</f>
        <v>180.81570996978851</v>
      </c>
      <c r="AC56" s="22">
        <f>'[105]Arc Results'!$I$48</f>
        <v>562.34592145015108</v>
      </c>
      <c r="AD56" s="22">
        <f>'[105]Arc Results'!$I$59</f>
        <v>798.46752265861028</v>
      </c>
      <c r="AE56" s="22">
        <f>'[105]Arc Results'!$I$114</f>
        <v>187</v>
      </c>
      <c r="AF56" s="22">
        <f>'[105]Arc Results'!$I$125</f>
        <v>187.00000000000017</v>
      </c>
      <c r="AG56" s="22">
        <f>'[105]Arc Results'!$I$147</f>
        <v>2782.1374622356498</v>
      </c>
      <c r="AH56" s="22">
        <f>'[105]Arc Results'!$I$158</f>
        <v>2806.8957703927495</v>
      </c>
      <c r="AI56" s="22">
        <f>'[105]Arc Results'!$I$213</f>
        <v>4331.8126888217521</v>
      </c>
      <c r="AJ56" s="22">
        <f>'[105]Arc Results'!$I$224</f>
        <v>4571.2351640323441</v>
      </c>
      <c r="AK56" s="22">
        <f>'[105]Arc Results'!$I$180</f>
        <v>3063</v>
      </c>
      <c r="AL56" s="22">
        <f>'[105]Arc Results'!$I$191</f>
        <v>3067.0000000000009</v>
      </c>
      <c r="AM56" s="22">
        <f>'[105]Arc Results'!$I$81</f>
        <v>2768.7960725075527</v>
      </c>
      <c r="AN56" s="22">
        <f>'[105]Arc Results'!$I$81</f>
        <v>2768.7960725075527</v>
      </c>
      <c r="AP56" s="9">
        <f t="shared" si="10"/>
        <v>1.25</v>
      </c>
      <c r="AQ56" s="9">
        <f t="shared" si="11"/>
        <v>1.1735150414854274</v>
      </c>
      <c r="AR56" s="9">
        <f t="shared" si="12"/>
        <v>1.0000000000000004</v>
      </c>
      <c r="AS56" s="9">
        <f t="shared" si="13"/>
        <v>1.0044298015643498</v>
      </c>
      <c r="AT56" s="9">
        <f t="shared" si="14"/>
        <v>1.0268921923331953</v>
      </c>
      <c r="AU56" s="9">
        <f t="shared" si="15"/>
        <v>1.000652528548124</v>
      </c>
      <c r="AV56" s="9">
        <f t="shared" si="16"/>
        <v>1</v>
      </c>
    </row>
    <row r="59" spans="1:48" ht="15.75">
      <c r="A59" s="5"/>
      <c r="B59" s="9"/>
      <c r="C59" s="9"/>
      <c r="D59" s="9"/>
      <c r="E59" s="7"/>
      <c r="F59" s="7"/>
      <c r="G59" s="7"/>
      <c r="H59" s="7"/>
      <c r="I59" s="9"/>
      <c r="J59" s="9"/>
      <c r="K59" s="9"/>
      <c r="L59" s="21"/>
      <c r="M59" s="21"/>
      <c r="N59" s="21"/>
      <c r="O59" s="21"/>
      <c r="P59" s="22"/>
      <c r="Q59" s="22"/>
      <c r="R59" s="22"/>
      <c r="S59" s="22"/>
      <c r="T59" s="22"/>
      <c r="U59" s="39"/>
      <c r="V59" s="39"/>
      <c r="W59" s="39"/>
      <c r="X59" s="23"/>
      <c r="Y59" s="22"/>
      <c r="Z59" s="24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P59" s="9" t="e">
        <f t="shared" ref="AP59" si="252">2*AB59/SUM(AA59:AB59)</f>
        <v>#DIV/0!</v>
      </c>
      <c r="AQ59" s="9" t="e">
        <f t="shared" ref="AQ59" si="253">2*AD59/SUM(AC59:AD59)</f>
        <v>#DIV/0!</v>
      </c>
      <c r="AR59" s="9" t="e">
        <f t="shared" ref="AR59" si="254">2*AF59/SUM(AE59:AF59)</f>
        <v>#DIV/0!</v>
      </c>
      <c r="AS59" s="9" t="e">
        <f t="shared" ref="AS59" si="255">2*AH59/SUM(AG59:AH59)</f>
        <v>#DIV/0!</v>
      </c>
      <c r="AT59" s="9" t="e">
        <f t="shared" ref="AT59" si="256">2*AJ59/SUM(AI59:AJ59)</f>
        <v>#DIV/0!</v>
      </c>
      <c r="AU59" s="9" t="e">
        <f t="shared" ref="AU59" si="257">2*AL59/SUM(AK59:AL59)</f>
        <v>#DIV/0!</v>
      </c>
      <c r="AV59" s="9" t="e">
        <f t="shared" ref="AV59" si="258">2*AN59/SUM(AM59:AN59)</f>
        <v>#DIV/0!</v>
      </c>
    </row>
    <row r="60" spans="1:48">
      <c r="L60" s="22"/>
      <c r="M60" s="22"/>
      <c r="N60" s="22"/>
      <c r="O60" s="22"/>
      <c r="P60" s="22"/>
      <c r="Q60" s="22"/>
      <c r="R60" s="22"/>
      <c r="S60" s="22"/>
      <c r="T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83" spans="117:117">
      <c r="DM83" s="5"/>
    </row>
    <row r="84" spans="117:117">
      <c r="DM84" s="5"/>
    </row>
  </sheetData>
  <mergeCells count="4">
    <mergeCell ref="C2:D2"/>
    <mergeCell ref="F2:I2"/>
    <mergeCell ref="N2:T2"/>
    <mergeCell ref="U2:W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M84"/>
  <sheetViews>
    <sheetView topLeftCell="F1" zoomScale="70" zoomScaleNormal="70" workbookViewId="0">
      <selection activeCell="L34" sqref="L34:L35"/>
    </sheetView>
  </sheetViews>
  <sheetFormatPr defaultRowHeight="15"/>
  <cols>
    <col min="1" max="1" width="3.44140625" bestFit="1" customWidth="1"/>
    <col min="2" max="2" width="5" bestFit="1" customWidth="1"/>
    <col min="3" max="3" width="9.21875" customWidth="1"/>
    <col min="4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9" width="8.77734375" hidden="1" customWidth="1"/>
    <col min="10" max="11" width="6.109375" hidden="1" customWidth="1"/>
    <col min="12" max="12" width="8.44140625" bestFit="1" customWidth="1"/>
    <col min="13" max="13" width="8.6640625" customWidth="1"/>
    <col min="14" max="16" width="7" customWidth="1"/>
    <col min="17" max="19" width="5.5546875" customWidth="1"/>
    <col min="20" max="20" width="7.109375" customWidth="1"/>
    <col min="21" max="23" width="7.77734375" customWidth="1"/>
    <col min="24" max="24" width="8.44140625" customWidth="1"/>
    <col min="25" max="25" width="5.109375" hidden="1" customWidth="1"/>
    <col min="26" max="26" width="10" customWidth="1"/>
    <col min="27" max="41" width="8.88671875" customWidth="1"/>
  </cols>
  <sheetData>
    <row r="1" spans="1:48">
      <c r="L1" s="22"/>
      <c r="M1" s="18"/>
      <c r="N1" s="27">
        <f>N4/SUM($N$4:$T$4)</f>
        <v>0.20080606922712185</v>
      </c>
      <c r="O1" s="27">
        <f t="shared" ref="O1:T1" si="0">O4/SUM($N$4:$T$4)</f>
        <v>0.28425794215267902</v>
      </c>
      <c r="P1" s="27">
        <f t="shared" si="0"/>
        <v>0.24270981507823614</v>
      </c>
      <c r="Q1" s="27">
        <f t="shared" si="0"/>
        <v>6.1996206733048835E-2</v>
      </c>
      <c r="R1" s="27">
        <f t="shared" si="0"/>
        <v>1.5232337600758653E-2</v>
      </c>
      <c r="S1" s="27">
        <f t="shared" si="0"/>
        <v>1.5647226173541962E-2</v>
      </c>
      <c r="T1" s="27">
        <f t="shared" si="0"/>
        <v>0.17935040303461355</v>
      </c>
    </row>
    <row r="2" spans="1:48" ht="15.75">
      <c r="C2" s="47" t="s">
        <v>28</v>
      </c>
      <c r="D2" s="47"/>
      <c r="F2" s="47" t="s">
        <v>23</v>
      </c>
      <c r="G2" s="47"/>
      <c r="H2" s="47"/>
      <c r="I2" s="47"/>
      <c r="J2" s="30"/>
      <c r="K2" s="30"/>
      <c r="L2" s="22"/>
      <c r="N2" s="47"/>
      <c r="O2" s="47"/>
      <c r="P2" s="47"/>
      <c r="Q2" s="47"/>
      <c r="R2" s="47"/>
      <c r="S2" s="47"/>
      <c r="T2" s="47"/>
      <c r="U2" s="47" t="s">
        <v>19</v>
      </c>
      <c r="V2" s="47"/>
      <c r="W2" s="47"/>
    </row>
    <row r="3" spans="1:48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J3" s="1" t="s">
        <v>14</v>
      </c>
      <c r="L3" s="1" t="s">
        <v>2</v>
      </c>
      <c r="M3" s="1" t="s">
        <v>3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20</v>
      </c>
      <c r="V3" s="1" t="s">
        <v>21</v>
      </c>
      <c r="W3" s="1" t="s">
        <v>22</v>
      </c>
      <c r="X3" s="1" t="s">
        <v>46</v>
      </c>
      <c r="AP3" s="1" t="s">
        <v>61</v>
      </c>
    </row>
    <row r="4" spans="1:48" s="1" customFormat="1" ht="15.75">
      <c r="K4" s="1" t="s">
        <v>64</v>
      </c>
      <c r="L4" s="1">
        <v>5082</v>
      </c>
      <c r="M4" s="1">
        <v>16515</v>
      </c>
      <c r="N4" s="1">
        <v>6776</v>
      </c>
      <c r="O4" s="1">
        <v>9592</v>
      </c>
      <c r="P4" s="1">
        <v>8190</v>
      </c>
      <c r="Q4" s="1">
        <v>2092</v>
      </c>
      <c r="R4" s="1">
        <v>514</v>
      </c>
      <c r="S4" s="1">
        <v>528</v>
      </c>
      <c r="T4" s="1">
        <v>6052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62</v>
      </c>
      <c r="AL4" s="1" t="s">
        <v>63</v>
      </c>
      <c r="AM4" s="1" t="s">
        <v>66</v>
      </c>
      <c r="AN4" s="1" t="s">
        <v>67</v>
      </c>
      <c r="AP4" s="1" t="s">
        <v>17</v>
      </c>
      <c r="AQ4" s="1" t="s">
        <v>15</v>
      </c>
      <c r="AR4" s="1" t="s">
        <v>16</v>
      </c>
      <c r="AS4" s="1" t="s">
        <v>12</v>
      </c>
      <c r="AT4" s="1" t="s">
        <v>13</v>
      </c>
      <c r="AU4" s="1" t="s">
        <v>18</v>
      </c>
      <c r="AV4" s="1" t="s">
        <v>14</v>
      </c>
    </row>
    <row r="5" spans="1:48" ht="15.75">
      <c r="A5" s="5">
        <v>1</v>
      </c>
      <c r="B5" s="9">
        <v>2020</v>
      </c>
      <c r="C5" s="9" t="s">
        <v>4</v>
      </c>
      <c r="D5" s="9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9" t="s">
        <v>45</v>
      </c>
      <c r="J5" s="9">
        <v>500</v>
      </c>
      <c r="K5" s="9">
        <v>0.8</v>
      </c>
      <c r="L5" s="21">
        <f>'[106]Arc Results'!$I$10960+'[106]Arc Results'!$I$10971+'[106]Arc Results'!$I$10982+'[106]Arc Results'!$I$10993+'[106]Arc Results'!$I$11004+'[106]Arc Results'!$I$11015+'[106]Arc Results'!$I$11026+'[106]Arc Results'!$I$11037+'[106]Arc Results'!$I$11048+'[106]Arc Results'!$I$11059+'[106]Arc Results'!$I$11070+'[106]Arc Results'!$I$11081+'[106]Arc Results'!$I$11092+'[106]Arc Results'!$I$11103+'[106]Arc Results'!$I$11114+'[106]Arc Results'!$I$11125+'[106]Arc Results'!$I$11136+'[106]Arc Results'!$I$11147+'[106]Arc Results'!$I$11158+'[106]Arc Results'!$I$11169+'[106]Arc Results'!$I$11180+'[106]Arc Results'!$I$11191+'[106]Arc Results'!$I$11202+'[106]Arc Results'!$I$11213+'[106]Arc Results'!$I$11224+'[106]Arc Results'!$I$11235+'[106]Arc Results'!$I$11246+'[106]Arc Results'!$I$11257+'[106]Arc Results'!$I$11268</f>
        <v>3923.968313973045</v>
      </c>
      <c r="M5" s="21">
        <f>'[106]Arc Results'!$I$257</f>
        <v>6165.6596571428518</v>
      </c>
      <c r="N5" s="21">
        <f t="shared" ref="N5:N56" si="1">SUM(AG5:AH5)</f>
        <v>5664.0250965250962</v>
      </c>
      <c r="O5" s="21">
        <f t="shared" ref="O5:O56" si="2">SUM(AI5:AJ5)</f>
        <v>9554.8648648648632</v>
      </c>
      <c r="P5" s="22">
        <f t="shared" ref="P5:P56" si="3">SUM(AM5:AN5)</f>
        <v>6662.29054054054</v>
      </c>
      <c r="Q5" s="22">
        <f t="shared" ref="Q5:Q56" si="4">SUM(AC5:AD5)</f>
        <v>1885.7509652509652</v>
      </c>
      <c r="R5" s="22">
        <f t="shared" ref="R5:R56" si="5">SUM(AE5:AF5)</f>
        <v>514.36679536679537</v>
      </c>
      <c r="S5" s="22">
        <f t="shared" ref="S5:S56" si="6">SUM(AA5:AB5)</f>
        <v>471.97297297297291</v>
      </c>
      <c r="T5" s="22">
        <f t="shared" ref="T5:T56" si="7">SUM(AK5:AL5)</f>
        <v>6920.3723907260137</v>
      </c>
      <c r="U5" s="25" t="str">
        <f>[106]Log!$K$2</f>
        <v>308.099.569,16</v>
      </c>
      <c r="V5" s="25" t="str">
        <f>[106]Log!$J$2</f>
        <v>47.021.258,62</v>
      </c>
      <c r="W5" s="25" t="str">
        <f>[106]Log!$N$2</f>
        <v>71.932.043,88</v>
      </c>
      <c r="X5" s="23">
        <f t="shared" ref="X5:X56" si="8">SUM(U5:W5)</f>
        <v>0</v>
      </c>
      <c r="Y5" s="22"/>
      <c r="Z5" s="24">
        <f t="shared" ref="Z5:Z56" si="9">M5+N5+O5+P5+Q5+R5+S5+T5</f>
        <v>37839.303283390094</v>
      </c>
      <c r="AA5" s="22">
        <f>'[106]Arc Results'!$I$15</f>
        <v>207.97297297297294</v>
      </c>
      <c r="AB5" s="22">
        <f>'[106]Arc Results'!$I$26</f>
        <v>264</v>
      </c>
      <c r="AC5" s="22">
        <f>'[106]Arc Results'!$I$48</f>
        <v>822.17084942084944</v>
      </c>
      <c r="AD5" s="22">
        <f>'[106]Arc Results'!$I$59</f>
        <v>1063.5801158301158</v>
      </c>
      <c r="AE5" s="22">
        <f>'[106]Arc Results'!$I$114</f>
        <v>244.42277992277991</v>
      </c>
      <c r="AF5" s="22">
        <f>'[106]Arc Results'!$I$125</f>
        <v>269.94401544401546</v>
      </c>
      <c r="AG5" s="22">
        <f>'[106]Arc Results'!$I$147</f>
        <v>2816.1920849420849</v>
      </c>
      <c r="AH5" s="22">
        <f>'[106]Arc Results'!$I$158</f>
        <v>2847.8330115830117</v>
      </c>
      <c r="AI5" s="22">
        <f>'[106]Arc Results'!$I$213</f>
        <v>4636.0810810810808</v>
      </c>
      <c r="AJ5" s="22">
        <f>'[106]Arc Results'!$I$224</f>
        <v>4918.7837837837833</v>
      </c>
      <c r="AK5" s="22">
        <f>'[106]Arc Results'!$I$180</f>
        <v>3460.1861953630064</v>
      </c>
      <c r="AL5" s="22">
        <f>'[106]Arc Results'!$I$191</f>
        <v>3460.1861953630068</v>
      </c>
      <c r="AM5" s="22">
        <f>'[106]Arc Results'!$I$81</f>
        <v>3331.14527027027</v>
      </c>
      <c r="AN5" s="22">
        <f>'[106]Arc Results'!$I$81</f>
        <v>3331.14527027027</v>
      </c>
      <c r="AP5" s="9">
        <f t="shared" ref="AP5:AP56" si="10">2*AB5/SUM(AA5:AB5)</f>
        <v>1.1187081257515892</v>
      </c>
      <c r="AQ5" s="9">
        <f t="shared" ref="AQ5:AQ56" si="11">2*AD5/SUM(AC5:AD5)</f>
        <v>1.1280175754157116</v>
      </c>
      <c r="AR5" s="9">
        <f t="shared" ref="AR5:AR56" si="12">2*AF5/SUM(AE5:AF5)</f>
        <v>1.0496168021558163</v>
      </c>
      <c r="AS5" s="9">
        <f t="shared" ref="AS5:AS56" si="13">2*AH5/SUM(AG5:AH5)</f>
        <v>1.0055862970417166</v>
      </c>
      <c r="AT5" s="9">
        <f t="shared" ref="AT5:AT56" si="14">2*AJ5/SUM(AI5:AJ5)</f>
        <v>1.0295873051791928</v>
      </c>
      <c r="AU5" s="9">
        <f t="shared" ref="AU5:AU56" si="15">2*AL5/SUM(AK5:AL5)</f>
        <v>1</v>
      </c>
      <c r="AV5" s="9">
        <f t="shared" ref="AV5:AV56" si="16">2*AN5/SUM(AM5:AN5)</f>
        <v>1</v>
      </c>
    </row>
    <row r="6" spans="1:48" ht="15.75">
      <c r="A6">
        <f>A5+1</f>
        <v>2</v>
      </c>
      <c r="B6" s="9">
        <v>2020</v>
      </c>
      <c r="C6" s="9" t="s">
        <v>4</v>
      </c>
      <c r="D6" s="9" t="s">
        <v>5</v>
      </c>
      <c r="E6" s="7" t="s">
        <v>6</v>
      </c>
      <c r="F6" s="7" t="s">
        <v>76</v>
      </c>
      <c r="G6" s="7" t="s">
        <v>8</v>
      </c>
      <c r="H6" s="7" t="s">
        <v>9</v>
      </c>
      <c r="I6" s="9" t="s">
        <v>45</v>
      </c>
      <c r="J6" s="9">
        <v>500</v>
      </c>
      <c r="K6" s="9">
        <v>0.8</v>
      </c>
      <c r="L6" s="28">
        <f>'[107]Arc Results'!$I$10960+'[107]Arc Results'!$I$10971+'[107]Arc Results'!$I$10982+'[107]Arc Results'!$I$10993+'[107]Arc Results'!$I$11004+'[107]Arc Results'!$I$11015+'[107]Arc Results'!$I$11026+'[107]Arc Results'!$I$11037+'[107]Arc Results'!$I$11048+'[107]Arc Results'!$I$11059+'[107]Arc Results'!$I$11070+'[107]Arc Results'!$I$11081+'[107]Arc Results'!$I$11092+'[107]Arc Results'!$I$11103+'[107]Arc Results'!$I$11114+'[107]Arc Results'!$I$11125+'[107]Arc Results'!$I$11136+'[107]Arc Results'!$I$11147+'[107]Arc Results'!$I$11158+'[107]Arc Results'!$I$11169+'[107]Arc Results'!$I$11180+'[107]Arc Results'!$I$11191+'[107]Arc Results'!$I$11202+'[107]Arc Results'!$I$11213+'[107]Arc Results'!$I$11224+'[107]Arc Results'!$I$11235+'[107]Arc Results'!$I$11246+'[107]Arc Results'!$I$11257+'[107]Arc Results'!$I$11268</f>
        <v>3865.4597006082436</v>
      </c>
      <c r="M6" s="28">
        <f>'[107]Arc Results'!$I$257</f>
        <v>6165.6637714285825</v>
      </c>
      <c r="N6" s="28">
        <f t="shared" si="1"/>
        <v>6124.0000000000018</v>
      </c>
      <c r="O6" s="28">
        <f t="shared" si="2"/>
        <v>9804.7591148167339</v>
      </c>
      <c r="P6" s="28">
        <f t="shared" si="3"/>
        <v>7243.516409266409</v>
      </c>
      <c r="Q6" s="28">
        <f t="shared" si="4"/>
        <v>2127.1602316602316</v>
      </c>
      <c r="R6" s="28">
        <f t="shared" si="5"/>
        <v>539.88803088803093</v>
      </c>
      <c r="S6" s="28">
        <f t="shared" si="6"/>
        <v>495.08108108108104</v>
      </c>
      <c r="T6" s="28">
        <f t="shared" si="7"/>
        <v>6130</v>
      </c>
      <c r="U6" s="28" t="str">
        <f>[107]Log!$K$2</f>
        <v>314.043.113,22</v>
      </c>
      <c r="V6" s="28" t="str">
        <f>[107]Log!$J$2</f>
        <v>47.021.289,99</v>
      </c>
      <c r="W6" s="28" t="str">
        <f>[107]Log!$N$2</f>
        <v>71.928.700,54</v>
      </c>
      <c r="X6" s="32">
        <f t="shared" si="8"/>
        <v>0</v>
      </c>
      <c r="Y6" s="28"/>
      <c r="Z6" s="33">
        <f t="shared" si="9"/>
        <v>38630.068639141071</v>
      </c>
      <c r="AA6" s="28">
        <f>'[107]Arc Results'!$I$15</f>
        <v>231.08108108108104</v>
      </c>
      <c r="AB6" s="28">
        <f>'[107]Arc Results'!$I$26</f>
        <v>264</v>
      </c>
      <c r="AC6" s="28">
        <f>'[107]Arc Results'!$I$48</f>
        <v>942.87548262548262</v>
      </c>
      <c r="AD6" s="28">
        <f>'[107]Arc Results'!$I$59</f>
        <v>1184.284749034749</v>
      </c>
      <c r="AE6" s="28">
        <f>'[107]Arc Results'!$I$114</f>
        <v>257.18339768339769</v>
      </c>
      <c r="AF6" s="28">
        <f>'[107]Arc Results'!$I$125</f>
        <v>282.70463320463318</v>
      </c>
      <c r="AG6" s="28">
        <f>'[107]Arc Results'!$I$147</f>
        <v>2863.6534749034749</v>
      </c>
      <c r="AH6" s="28">
        <f>'[107]Arc Results'!$I$158</f>
        <v>3260.3465250965264</v>
      </c>
      <c r="AI6" s="28">
        <f>'[107]Arc Results'!$I$213</f>
        <v>4744.6239796815989</v>
      </c>
      <c r="AJ6" s="28">
        <f>'[107]Arc Results'!$I$224</f>
        <v>5060.135135135135</v>
      </c>
      <c r="AK6" s="28">
        <f>'[107]Arc Results'!$I$180</f>
        <v>3063</v>
      </c>
      <c r="AL6" s="28">
        <f>'[107]Arc Results'!$I$191</f>
        <v>3067.0000000000005</v>
      </c>
      <c r="AM6" s="28">
        <f>'[107]Arc Results'!$I$81</f>
        <v>3621.7582046332045</v>
      </c>
      <c r="AN6" s="28">
        <f>'[107]Arc Results'!$I$81</f>
        <v>3621.7582046332045</v>
      </c>
      <c r="AP6" s="9">
        <f t="shared" si="10"/>
        <v>1.0664919751064528</v>
      </c>
      <c r="AQ6" s="9">
        <f t="shared" si="11"/>
        <v>1.1134889900705074</v>
      </c>
      <c r="AR6" s="9">
        <f t="shared" si="12"/>
        <v>1.047271348985561</v>
      </c>
      <c r="AS6" s="9">
        <f t="shared" si="13"/>
        <v>1.0647767880785517</v>
      </c>
      <c r="AT6" s="9">
        <f t="shared" si="14"/>
        <v>1.0321793887803672</v>
      </c>
      <c r="AU6" s="9">
        <f t="shared" si="15"/>
        <v>1.000652528548124</v>
      </c>
      <c r="AV6" s="9">
        <f t="shared" si="16"/>
        <v>1</v>
      </c>
    </row>
    <row r="7" spans="1:48" ht="15.75">
      <c r="A7">
        <f t="shared" ref="A7:A56" si="17">A6+1</f>
        <v>3</v>
      </c>
      <c r="B7" s="9">
        <v>2020</v>
      </c>
      <c r="C7" s="9" t="s">
        <v>4</v>
      </c>
      <c r="D7" s="9" t="s">
        <v>5</v>
      </c>
      <c r="E7" s="7" t="s">
        <v>6</v>
      </c>
      <c r="F7" s="7" t="s">
        <v>77</v>
      </c>
      <c r="G7" s="7" t="s">
        <v>8</v>
      </c>
      <c r="H7" s="7" t="s">
        <v>9</v>
      </c>
      <c r="I7" s="9" t="s">
        <v>45</v>
      </c>
      <c r="J7" s="9">
        <v>500</v>
      </c>
      <c r="K7" s="9">
        <v>0.8</v>
      </c>
      <c r="L7" s="28">
        <f>'[108]Arc Results'!$I$10960+'[108]Arc Results'!$I$10971+'[108]Arc Results'!$I$10982+'[108]Arc Results'!$I$10993+'[108]Arc Results'!$I$11004+'[108]Arc Results'!$I$11015+'[108]Arc Results'!$I$11026+'[108]Arc Results'!$I$11037+'[108]Arc Results'!$I$11048+'[108]Arc Results'!$I$11059+'[108]Arc Results'!$I$11070+'[108]Arc Results'!$I$11081+'[108]Arc Results'!$I$11092+'[108]Arc Results'!$I$11103+'[108]Arc Results'!$I$11114+'[108]Arc Results'!$I$11125+'[108]Arc Results'!$I$11136+'[108]Arc Results'!$I$11147+'[108]Arc Results'!$I$11158+'[108]Arc Results'!$I$11169+'[108]Arc Results'!$I$11180+'[108]Arc Results'!$I$11191+'[108]Arc Results'!$I$11202+'[108]Arc Results'!$I$11213+'[108]Arc Results'!$I$11224+'[108]Arc Results'!$I$11235+'[108]Arc Results'!$I$11246+'[108]Arc Results'!$I$11257+'[108]Arc Results'!$I$11268</f>
        <v>3499.4436050965205</v>
      </c>
      <c r="M7" s="28">
        <f>'[108]Arc Results'!$I$257</f>
        <v>6165.6637714285616</v>
      </c>
      <c r="N7" s="28">
        <f t="shared" si="1"/>
        <v>5648.2046332046339</v>
      </c>
      <c r="O7" s="28">
        <f t="shared" si="2"/>
        <v>11503.999999999996</v>
      </c>
      <c r="P7" s="28">
        <f t="shared" si="3"/>
        <v>6371.6776061776063</v>
      </c>
      <c r="Q7" s="28">
        <f t="shared" si="4"/>
        <v>1775.2321186777413</v>
      </c>
      <c r="R7" s="28">
        <f t="shared" si="5"/>
        <v>501.6061776061776</v>
      </c>
      <c r="S7" s="28">
        <f t="shared" si="6"/>
        <v>448.86486486486484</v>
      </c>
      <c r="T7" s="28">
        <f t="shared" si="7"/>
        <v>6130</v>
      </c>
      <c r="U7" s="28" t="str">
        <f>[108]Log!$K$2</f>
        <v>301.673.061,44</v>
      </c>
      <c r="V7" s="28" t="str">
        <f>[108]Log!$J$2</f>
        <v>47.021.289,99</v>
      </c>
      <c r="W7" s="28" t="str">
        <f>[108]Log!$N$2</f>
        <v>71.928.700,54</v>
      </c>
      <c r="X7" s="32">
        <f t="shared" si="8"/>
        <v>0</v>
      </c>
      <c r="Y7" s="28"/>
      <c r="Z7" s="33">
        <f t="shared" si="9"/>
        <v>38545.249171959578</v>
      </c>
      <c r="AA7" s="28">
        <f>'[108]Arc Results'!$I$15</f>
        <v>184.86486486486484</v>
      </c>
      <c r="AB7" s="28">
        <f>'[108]Arc Results'!$I$26</f>
        <v>264</v>
      </c>
      <c r="AC7" s="28">
        <f>'[108]Arc Results'!$I$48</f>
        <v>761.81853281853284</v>
      </c>
      <c r="AD7" s="28">
        <f>'[108]Arc Results'!$I$59</f>
        <v>1013.4135858592084</v>
      </c>
      <c r="AE7" s="28">
        <f>'[108]Arc Results'!$I$114</f>
        <v>238.04247104247105</v>
      </c>
      <c r="AF7" s="28">
        <f>'[108]Arc Results'!$I$125</f>
        <v>263.56370656370655</v>
      </c>
      <c r="AG7" s="28">
        <f>'[108]Arc Results'!$I$147</f>
        <v>2808.2818532818533</v>
      </c>
      <c r="AH7" s="28">
        <f>'[108]Arc Results'!$I$158</f>
        <v>2839.9227799227801</v>
      </c>
      <c r="AI7" s="28">
        <f>'[108]Arc Results'!$I$213</f>
        <v>5176.7999999999947</v>
      </c>
      <c r="AJ7" s="28">
        <f>'[108]Arc Results'!$I$224</f>
        <v>6327.2000000000007</v>
      </c>
      <c r="AK7" s="28">
        <f>'[108]Arc Results'!$I$180</f>
        <v>3063</v>
      </c>
      <c r="AL7" s="28">
        <f>'[108]Arc Results'!$I$191</f>
        <v>3067</v>
      </c>
      <c r="AM7" s="28">
        <f>'[108]Arc Results'!$I$81</f>
        <v>3185.8388030888032</v>
      </c>
      <c r="AN7" s="28">
        <f>'[108]Arc Results'!$I$81</f>
        <v>3185.8388030888032</v>
      </c>
      <c r="AP7" s="9">
        <f t="shared" si="10"/>
        <v>1.1763005780346822</v>
      </c>
      <c r="AQ7" s="9">
        <f t="shared" si="11"/>
        <v>1.1417251583010299</v>
      </c>
      <c r="AR7" s="9">
        <f t="shared" si="12"/>
        <v>1.0508790295267711</v>
      </c>
      <c r="AS7" s="9">
        <f t="shared" si="13"/>
        <v>1.0056019441036035</v>
      </c>
      <c r="AT7" s="9">
        <f t="shared" si="14"/>
        <v>1.1000000000000005</v>
      </c>
      <c r="AU7" s="9">
        <f t="shared" si="15"/>
        <v>1.000652528548124</v>
      </c>
      <c r="AV7" s="9">
        <f t="shared" si="16"/>
        <v>1</v>
      </c>
    </row>
    <row r="8" spans="1:48" ht="15.75">
      <c r="A8">
        <f t="shared" si="17"/>
        <v>4</v>
      </c>
      <c r="B8" s="9">
        <v>2020</v>
      </c>
      <c r="C8" s="9" t="s">
        <v>4</v>
      </c>
      <c r="D8" s="9" t="s">
        <v>5</v>
      </c>
      <c r="E8" s="7" t="s">
        <v>6</v>
      </c>
      <c r="F8" s="7" t="s">
        <v>78</v>
      </c>
      <c r="G8" s="7" t="s">
        <v>8</v>
      </c>
      <c r="H8" s="7" t="s">
        <v>9</v>
      </c>
      <c r="I8" s="9" t="s">
        <v>45</v>
      </c>
      <c r="J8" s="9">
        <v>500</v>
      </c>
      <c r="K8" s="9">
        <v>0.8</v>
      </c>
      <c r="L8" s="28">
        <f>'[109]Arc Results'!$I$10960+'[109]Arc Results'!$I$10971+'[109]Arc Results'!$I$10982+'[109]Arc Results'!$I$10993+'[109]Arc Results'!$I$11004+'[109]Arc Results'!$I$11015+'[109]Arc Results'!$I$11026+'[109]Arc Results'!$I$11037+'[109]Arc Results'!$I$11048+'[109]Arc Results'!$I$11059+'[109]Arc Results'!$I$11070+'[109]Arc Results'!$I$11081+'[109]Arc Results'!$I$11092+'[109]Arc Results'!$I$11103+'[109]Arc Results'!$I$11114+'[109]Arc Results'!$I$11125+'[109]Arc Results'!$I$11136+'[109]Arc Results'!$I$11147+'[109]Arc Results'!$I$11158+'[109]Arc Results'!$I$11169+'[109]Arc Results'!$I$11180+'[109]Arc Results'!$I$11191+'[109]Arc Results'!$I$11202+'[109]Arc Results'!$I$11213+'[109]Arc Results'!$I$11224+'[109]Arc Results'!$I$11235+'[109]Arc Results'!$I$11246+'[109]Arc Results'!$I$11257+'[109]Arc Results'!$I$11268</f>
        <v>3736.1503618532929</v>
      </c>
      <c r="M8" s="28">
        <f>'[109]Arc Results'!$I$257</f>
        <v>6165.6637714285598</v>
      </c>
      <c r="N8" s="28">
        <f t="shared" si="1"/>
        <v>5553.2818532818528</v>
      </c>
      <c r="O8" s="28">
        <f t="shared" si="2"/>
        <v>8602.8456630792716</v>
      </c>
      <c r="P8" s="28">
        <f t="shared" si="3"/>
        <v>10089.000000000018</v>
      </c>
      <c r="Q8" s="28">
        <f t="shared" si="4"/>
        <v>1040.8185328185327</v>
      </c>
      <c r="R8" s="28">
        <f t="shared" si="5"/>
        <v>425.04247104247099</v>
      </c>
      <c r="S8" s="28">
        <f t="shared" si="6"/>
        <v>204.61621621621623</v>
      </c>
      <c r="T8" s="28">
        <f t="shared" si="7"/>
        <v>6130</v>
      </c>
      <c r="U8" s="28" t="str">
        <f>[109]Log!$K$2</f>
        <v>304.227.476,63</v>
      </c>
      <c r="V8" s="28" t="str">
        <f>[109]Log!$J$2</f>
        <v>47.021.289,99</v>
      </c>
      <c r="W8" s="28" t="str">
        <f>[109]Log!$N$2</f>
        <v>71.928.700,54</v>
      </c>
      <c r="X8" s="32">
        <f t="shared" si="8"/>
        <v>0</v>
      </c>
      <c r="Y8" s="28"/>
      <c r="Z8" s="33">
        <f t="shared" si="9"/>
        <v>38211.268507866916</v>
      </c>
      <c r="AA8" s="28">
        <f>'[109]Arc Results'!$I$15</f>
        <v>46.21621621621621</v>
      </c>
      <c r="AB8" s="28">
        <f>'[109]Arc Results'!$I$26</f>
        <v>158.4</v>
      </c>
      <c r="AC8" s="28">
        <f>'[109]Arc Results'!$I$48</f>
        <v>399.70463320463318</v>
      </c>
      <c r="AD8" s="28">
        <f>'[109]Arc Results'!$I$59</f>
        <v>641.11389961389966</v>
      </c>
      <c r="AE8" s="28">
        <f>'[109]Arc Results'!$I$114</f>
        <v>199.76061776061775</v>
      </c>
      <c r="AF8" s="28">
        <f>'[109]Arc Results'!$I$125</f>
        <v>225.28185328185327</v>
      </c>
      <c r="AG8" s="28">
        <f>'[109]Arc Results'!$I$147</f>
        <v>2760.8204633204632</v>
      </c>
      <c r="AH8" s="28">
        <f>'[109]Arc Results'!$I$158</f>
        <v>2792.4613899613901</v>
      </c>
      <c r="AI8" s="28">
        <f>'[109]Arc Results'!$I$213</f>
        <v>4141.3513513513517</v>
      </c>
      <c r="AJ8" s="28">
        <f>'[109]Arc Results'!$I$224</f>
        <v>4461.4943117279208</v>
      </c>
      <c r="AK8" s="28">
        <f>'[109]Arc Results'!$I$180</f>
        <v>3063</v>
      </c>
      <c r="AL8" s="28">
        <f>'[109]Arc Results'!$I$191</f>
        <v>3067.0000000000005</v>
      </c>
      <c r="AM8" s="28">
        <f>'[109]Arc Results'!$I$81</f>
        <v>5044.5000000000091</v>
      </c>
      <c r="AN8" s="28">
        <f>'[109]Arc Results'!$I$81</f>
        <v>5044.5000000000091</v>
      </c>
      <c r="AP8" s="9">
        <f t="shared" si="10"/>
        <v>1.548264384213029</v>
      </c>
      <c r="AQ8" s="9">
        <f t="shared" si="11"/>
        <v>1.2319417446915855</v>
      </c>
      <c r="AR8" s="9">
        <f t="shared" si="12"/>
        <v>1.0600439656268736</v>
      </c>
      <c r="AS8" s="9">
        <f t="shared" si="13"/>
        <v>1.0056976986720436</v>
      </c>
      <c r="AT8" s="9">
        <f t="shared" si="14"/>
        <v>1.0372136119738291</v>
      </c>
      <c r="AU8" s="9">
        <f t="shared" si="15"/>
        <v>1.000652528548124</v>
      </c>
      <c r="AV8" s="9">
        <f t="shared" si="16"/>
        <v>1</v>
      </c>
    </row>
    <row r="9" spans="1:48" ht="15.75">
      <c r="A9">
        <f t="shared" si="17"/>
        <v>5</v>
      </c>
      <c r="B9" s="9">
        <v>2020</v>
      </c>
      <c r="C9" s="9" t="s">
        <v>4</v>
      </c>
      <c r="D9" s="9" t="s">
        <v>5</v>
      </c>
      <c r="E9" s="7" t="s">
        <v>6</v>
      </c>
      <c r="F9" s="7" t="s">
        <v>79</v>
      </c>
      <c r="G9" s="7" t="s">
        <v>8</v>
      </c>
      <c r="H9" s="7" t="s">
        <v>9</v>
      </c>
      <c r="I9" s="9" t="s">
        <v>45</v>
      </c>
      <c r="J9" s="9">
        <v>500</v>
      </c>
      <c r="K9" s="9">
        <v>0.8</v>
      </c>
      <c r="L9" s="28">
        <f>'[110]Arc Results'!$I$10960+'[110]Arc Results'!$I$10971+'[110]Arc Results'!$I$10982+'[110]Arc Results'!$I$10993+'[110]Arc Results'!$I$11004+'[110]Arc Results'!$I$11015+'[110]Arc Results'!$I$11026+'[110]Arc Results'!$I$11037+'[110]Arc Results'!$I$11048+'[110]Arc Results'!$I$11059+'[110]Arc Results'!$I$11070+'[110]Arc Results'!$I$11081+'[110]Arc Results'!$I$11092+'[110]Arc Results'!$I$11103+'[110]Arc Results'!$I$11114+'[110]Arc Results'!$I$11125+'[110]Arc Results'!$I$11136+'[110]Arc Results'!$I$11147+'[110]Arc Results'!$I$11158+'[110]Arc Results'!$I$11169+'[110]Arc Results'!$I$11180+'[110]Arc Results'!$I$11191+'[110]Arc Results'!$I$11202+'[110]Arc Results'!$I$11213+'[110]Arc Results'!$I$11224+'[110]Arc Results'!$I$11235+'[110]Arc Results'!$I$11246+'[110]Arc Results'!$I$11257+'[110]Arc Results'!$I$11268</f>
        <v>3971.5277508012891</v>
      </c>
      <c r="M9" s="28">
        <f>'[110]Arc Results'!$I$257</f>
        <v>6165.6637714285989</v>
      </c>
      <c r="N9" s="28">
        <f t="shared" si="1"/>
        <v>5703.5762548262555</v>
      </c>
      <c r="O9" s="28">
        <f t="shared" si="2"/>
        <v>9908.2432432432433</v>
      </c>
      <c r="P9" s="28">
        <f t="shared" si="3"/>
        <v>7254.0143686296033</v>
      </c>
      <c r="Q9" s="28">
        <f t="shared" si="4"/>
        <v>2247.864864864865</v>
      </c>
      <c r="R9" s="28">
        <f t="shared" si="5"/>
        <v>552.64864864864865</v>
      </c>
      <c r="S9" s="28">
        <f t="shared" si="6"/>
        <v>528</v>
      </c>
      <c r="T9" s="28">
        <f t="shared" si="7"/>
        <v>6130</v>
      </c>
      <c r="U9" s="28" t="str">
        <f>[110]Log!$K$2</f>
        <v>326.971.960,42</v>
      </c>
      <c r="V9" s="28" t="str">
        <f>[110]Log!$J$2</f>
        <v>47.021.289,99</v>
      </c>
      <c r="W9" s="28" t="str">
        <f>[110]Log!$N$2</f>
        <v>71.928.700,54</v>
      </c>
      <c r="X9" s="32">
        <f t="shared" si="8"/>
        <v>0</v>
      </c>
      <c r="Y9" s="28"/>
      <c r="Z9" s="33">
        <f t="shared" si="9"/>
        <v>38490.011151641214</v>
      </c>
      <c r="AA9" s="28">
        <f>'[110]Arc Results'!$I$15</f>
        <v>264</v>
      </c>
      <c r="AB9" s="28">
        <f>'[110]Arc Results'!$I$26</f>
        <v>264</v>
      </c>
      <c r="AC9" s="28">
        <f>'[110]Arc Results'!$I$48</f>
        <v>1003.2277992277992</v>
      </c>
      <c r="AD9" s="28">
        <f>'[110]Arc Results'!$I$59</f>
        <v>1244.6370656370657</v>
      </c>
      <c r="AE9" s="28">
        <f>'[110]Arc Results'!$I$114</f>
        <v>263.56370656370655</v>
      </c>
      <c r="AF9" s="28">
        <f>'[110]Arc Results'!$I$125</f>
        <v>289.0849420849421</v>
      </c>
      <c r="AG9" s="28">
        <f>'[110]Arc Results'!$I$147</f>
        <v>2832.0125482625485</v>
      </c>
      <c r="AH9" s="28">
        <f>'[110]Arc Results'!$I$158</f>
        <v>2871.5637065637065</v>
      </c>
      <c r="AI9" s="28">
        <f>'[110]Arc Results'!$I$213</f>
        <v>4777.4324324324325</v>
      </c>
      <c r="AJ9" s="28">
        <f>'[110]Arc Results'!$I$224</f>
        <v>5130.8108108108108</v>
      </c>
      <c r="AK9" s="28">
        <f>'[110]Arc Results'!$I$180</f>
        <v>3063</v>
      </c>
      <c r="AL9" s="28">
        <f>'[110]Arc Results'!$I$191</f>
        <v>3067</v>
      </c>
      <c r="AM9" s="28">
        <f>'[110]Arc Results'!$I$81</f>
        <v>3627.0071843148016</v>
      </c>
      <c r="AN9" s="28">
        <f>'[110]Arc Results'!$I$81</f>
        <v>3627.0071843148016</v>
      </c>
      <c r="AP9" s="9">
        <f t="shared" si="10"/>
        <v>1</v>
      </c>
      <c r="AQ9" s="9">
        <f t="shared" si="11"/>
        <v>1.1073949195890738</v>
      </c>
      <c r="AR9" s="9">
        <f t="shared" si="12"/>
        <v>1.0461798569192935</v>
      </c>
      <c r="AS9" s="9">
        <f t="shared" si="13"/>
        <v>1.0069344489376626</v>
      </c>
      <c r="AT9" s="9">
        <f t="shared" si="14"/>
        <v>1.0356650891286261</v>
      </c>
      <c r="AU9" s="9">
        <f t="shared" si="15"/>
        <v>1.000652528548124</v>
      </c>
      <c r="AV9" s="9">
        <f t="shared" si="16"/>
        <v>1</v>
      </c>
    </row>
    <row r="10" spans="1:48" ht="15.75">
      <c r="A10">
        <f t="shared" si="17"/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80</v>
      </c>
      <c r="G10" s="7" t="s">
        <v>8</v>
      </c>
      <c r="H10" s="7" t="s">
        <v>9</v>
      </c>
      <c r="I10" s="9" t="s">
        <v>45</v>
      </c>
      <c r="J10" s="9">
        <v>500</v>
      </c>
      <c r="K10" s="9">
        <v>0.8</v>
      </c>
      <c r="L10" s="28">
        <f>'[111]Arc Results'!$I$10960+'[111]Arc Results'!$I$10971+'[111]Arc Results'!$I$10982+'[111]Arc Results'!$I$10993+'[111]Arc Results'!$I$11004+'[111]Arc Results'!$I$11015+'[111]Arc Results'!$I$11026+'[111]Arc Results'!$I$11037+'[111]Arc Results'!$I$11048+'[111]Arc Results'!$I$11059+'[111]Arc Results'!$I$11070+'[111]Arc Results'!$I$11081+'[111]Arc Results'!$I$11092+'[111]Arc Results'!$I$11103+'[111]Arc Results'!$I$11114+'[111]Arc Results'!$I$11125+'[111]Arc Results'!$I$11136+'[111]Arc Results'!$I$11147+'[111]Arc Results'!$I$11158+'[111]Arc Results'!$I$11169+'[111]Arc Results'!$I$11180+'[111]Arc Results'!$I$11191+'[111]Arc Results'!$I$11202+'[111]Arc Results'!$I$11213+'[111]Arc Results'!$I$11224+'[111]Arc Results'!$I$11235+'[111]Arc Results'!$I$11246+'[111]Arc Results'!$I$11257+'[111]Arc Results'!$I$11268</f>
        <v>3965.7601832337191</v>
      </c>
      <c r="M10" s="28">
        <f>'[111]Arc Results'!$I$257</f>
        <v>6165.6637714285998</v>
      </c>
      <c r="N10" s="28">
        <f t="shared" si="1"/>
        <v>5671.9353281853282</v>
      </c>
      <c r="O10" s="28">
        <f t="shared" si="2"/>
        <v>9625.54054054054</v>
      </c>
      <c r="P10" s="28">
        <f t="shared" si="3"/>
        <v>6816.4883686296007</v>
      </c>
      <c r="Q10" s="28">
        <f t="shared" si="4"/>
        <v>3220.0000000000014</v>
      </c>
      <c r="R10" s="28">
        <f t="shared" si="5"/>
        <v>520.74710424710429</v>
      </c>
      <c r="S10" s="28">
        <f t="shared" si="6"/>
        <v>471.97297297297291</v>
      </c>
      <c r="T10" s="28">
        <f t="shared" si="7"/>
        <v>6130</v>
      </c>
      <c r="U10" s="28" t="str">
        <f>[111]Log!$K$2</f>
        <v>320.665.239,71</v>
      </c>
      <c r="V10" s="28" t="str">
        <f>[111]Log!$J$2</f>
        <v>47.021.289,99</v>
      </c>
      <c r="W10" s="28" t="str">
        <f>[111]Log!$N$2</f>
        <v>71.928.700,54</v>
      </c>
      <c r="X10" s="32">
        <f t="shared" si="8"/>
        <v>0</v>
      </c>
      <c r="Y10" s="28"/>
      <c r="Z10" s="33">
        <f t="shared" si="9"/>
        <v>38622.348086004145</v>
      </c>
      <c r="AA10" s="28">
        <f>'[111]Arc Results'!$I$15</f>
        <v>207.97297297297294</v>
      </c>
      <c r="AB10" s="28">
        <f>'[111]Arc Results'!$I$26</f>
        <v>264</v>
      </c>
      <c r="AC10" s="28">
        <f>'[111]Arc Results'!$I$48</f>
        <v>1509.0500000000013</v>
      </c>
      <c r="AD10" s="28">
        <f>'[111]Arc Results'!$I$59</f>
        <v>1710.95</v>
      </c>
      <c r="AE10" s="28">
        <f>'[111]Arc Results'!$I$114</f>
        <v>244.42277992277991</v>
      </c>
      <c r="AF10" s="28">
        <f>'[111]Arc Results'!$I$125</f>
        <v>276.32432432432432</v>
      </c>
      <c r="AG10" s="28">
        <f>'[111]Arc Results'!$I$147</f>
        <v>2816.1920849420849</v>
      </c>
      <c r="AH10" s="28">
        <f>'[111]Arc Results'!$I$158</f>
        <v>2855.7432432432433</v>
      </c>
      <c r="AI10" s="28">
        <f>'[111]Arc Results'!$I$213</f>
        <v>4636.0810810810808</v>
      </c>
      <c r="AJ10" s="28">
        <f>'[111]Arc Results'!$I$224</f>
        <v>4989.4594594594591</v>
      </c>
      <c r="AK10" s="28">
        <f>'[111]Arc Results'!$I$180</f>
        <v>3063</v>
      </c>
      <c r="AL10" s="28">
        <f>'[111]Arc Results'!$I$191</f>
        <v>3067.0000000000005</v>
      </c>
      <c r="AM10" s="28">
        <f>'[111]Arc Results'!$I$81</f>
        <v>3408.2441843148003</v>
      </c>
      <c r="AN10" s="28">
        <f>'[111]Arc Results'!$I$81</f>
        <v>3408.2441843148003</v>
      </c>
      <c r="AP10" s="9">
        <f t="shared" si="10"/>
        <v>1.1187081257515892</v>
      </c>
      <c r="AQ10" s="9">
        <f t="shared" si="11"/>
        <v>1.0627018633540368</v>
      </c>
      <c r="AR10" s="9">
        <f t="shared" si="12"/>
        <v>1.0612611076304832</v>
      </c>
      <c r="AS10" s="9">
        <f t="shared" si="13"/>
        <v>1.0069731328043567</v>
      </c>
      <c r="AT10" s="9">
        <f t="shared" si="14"/>
        <v>1.0367125749343666</v>
      </c>
      <c r="AU10" s="9">
        <f t="shared" si="15"/>
        <v>1.000652528548124</v>
      </c>
      <c r="AV10" s="9">
        <f t="shared" si="16"/>
        <v>1</v>
      </c>
    </row>
    <row r="11" spans="1:48" ht="15.75">
      <c r="A11">
        <f t="shared" si="17"/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81</v>
      </c>
      <c r="G11" s="7" t="s">
        <v>8</v>
      </c>
      <c r="H11" s="7" t="s">
        <v>9</v>
      </c>
      <c r="I11" s="9" t="s">
        <v>45</v>
      </c>
      <c r="J11" s="9">
        <v>500</v>
      </c>
      <c r="K11" s="9">
        <v>0.8</v>
      </c>
      <c r="L11" s="28">
        <f>'[112]Arc Results'!$I$10960+'[112]Arc Results'!$I$10971+'[112]Arc Results'!$I$10982+'[112]Arc Results'!$I$10993+'[112]Arc Results'!$I$11004+'[112]Arc Results'!$I$11015+'[112]Arc Results'!$I$11026+'[112]Arc Results'!$I$11037+'[112]Arc Results'!$I$11048+'[112]Arc Results'!$I$11059+'[112]Arc Results'!$I$11070+'[112]Arc Results'!$I$11081+'[112]Arc Results'!$I$11092+'[112]Arc Results'!$I$11103+'[112]Arc Results'!$I$11114+'[112]Arc Results'!$I$11125+'[112]Arc Results'!$I$11136+'[112]Arc Results'!$I$11147+'[112]Arc Results'!$I$11158+'[112]Arc Results'!$I$11169+'[112]Arc Results'!$I$11180+'[112]Arc Results'!$I$11191+'[112]Arc Results'!$I$11202+'[112]Arc Results'!$I$11213+'[112]Arc Results'!$I$11224+'[112]Arc Results'!$I$11235+'[112]Arc Results'!$I$11246+'[112]Arc Results'!$I$11257+'[112]Arc Results'!$I$11268</f>
        <v>3968.2519371428571</v>
      </c>
      <c r="M11" s="28">
        <f>'[112]Arc Results'!$I$257</f>
        <v>6165.663771428578</v>
      </c>
      <c r="N11" s="28">
        <f t="shared" si="1"/>
        <v>5703.5762548262555</v>
      </c>
      <c r="O11" s="28">
        <f t="shared" si="2"/>
        <v>9864.3039989866193</v>
      </c>
      <c r="P11" s="28">
        <f t="shared" si="3"/>
        <v>7243.516409266409</v>
      </c>
      <c r="Q11" s="28">
        <f t="shared" si="4"/>
        <v>2187.5125482625481</v>
      </c>
      <c r="R11" s="28">
        <f t="shared" si="5"/>
        <v>671.99999999999977</v>
      </c>
      <c r="S11" s="28">
        <f t="shared" si="6"/>
        <v>518.18918918918916</v>
      </c>
      <c r="T11" s="28">
        <f t="shared" si="7"/>
        <v>6130</v>
      </c>
      <c r="U11" s="28" t="str">
        <f>[112]Log!$K$2</f>
        <v>326.700.115,24</v>
      </c>
      <c r="V11" s="28" t="str">
        <f>[112]Log!$J$2</f>
        <v>47.021.289,99</v>
      </c>
      <c r="W11" s="28" t="str">
        <f>[112]Log!$N$2</f>
        <v>71.928.700,54</v>
      </c>
      <c r="X11" s="32">
        <f t="shared" si="8"/>
        <v>0</v>
      </c>
      <c r="Y11" s="28"/>
      <c r="Z11" s="33">
        <f t="shared" si="9"/>
        <v>38484.762171959599</v>
      </c>
      <c r="AA11" s="28">
        <f>'[112]Arc Results'!$I$15</f>
        <v>254.18918918918914</v>
      </c>
      <c r="AB11" s="28">
        <f>'[112]Arc Results'!$I$26</f>
        <v>264</v>
      </c>
      <c r="AC11" s="28">
        <f>'[112]Arc Results'!$I$48</f>
        <v>942.87548262548262</v>
      </c>
      <c r="AD11" s="28">
        <f>'[112]Arc Results'!$I$59</f>
        <v>1244.6370656370657</v>
      </c>
      <c r="AE11" s="28">
        <f>'[112]Arc Results'!$I$114</f>
        <v>335.69999999999982</v>
      </c>
      <c r="AF11" s="28">
        <f>'[112]Arc Results'!$I$125</f>
        <v>336.3</v>
      </c>
      <c r="AG11" s="28">
        <f>'[112]Arc Results'!$I$147</f>
        <v>2832.0125482625485</v>
      </c>
      <c r="AH11" s="28">
        <f>'[112]Arc Results'!$I$158</f>
        <v>2871.5637065637065</v>
      </c>
      <c r="AI11" s="28">
        <f>'[112]Arc Results'!$I$213</f>
        <v>4777.4324324324325</v>
      </c>
      <c r="AJ11" s="28">
        <f>'[112]Arc Results'!$I$224</f>
        <v>5086.8715665541877</v>
      </c>
      <c r="AK11" s="28">
        <f>'[112]Arc Results'!$I$180</f>
        <v>3063</v>
      </c>
      <c r="AL11" s="28">
        <f>'[112]Arc Results'!$I$191</f>
        <v>3067</v>
      </c>
      <c r="AM11" s="28">
        <f>'[112]Arc Results'!$I$81</f>
        <v>3621.7582046332045</v>
      </c>
      <c r="AN11" s="28">
        <f>'[112]Arc Results'!$I$81</f>
        <v>3621.7582046332045</v>
      </c>
      <c r="AP11" s="9">
        <f t="shared" si="10"/>
        <v>1.0189328743545611</v>
      </c>
      <c r="AQ11" s="9">
        <f t="shared" si="11"/>
        <v>1.1379473609197168</v>
      </c>
      <c r="AR11" s="9">
        <f t="shared" si="12"/>
        <v>1.0008928571428575</v>
      </c>
      <c r="AS11" s="9">
        <f t="shared" si="13"/>
        <v>1.0069344489376626</v>
      </c>
      <c r="AT11" s="9">
        <f t="shared" si="14"/>
        <v>1.0313695861515972</v>
      </c>
      <c r="AU11" s="9">
        <f t="shared" si="15"/>
        <v>1.000652528548124</v>
      </c>
      <c r="AV11" s="9">
        <f t="shared" si="16"/>
        <v>1</v>
      </c>
    </row>
    <row r="12" spans="1:48" ht="15.75">
      <c r="A12">
        <f t="shared" si="17"/>
        <v>8</v>
      </c>
      <c r="B12" s="9">
        <v>2020</v>
      </c>
      <c r="C12" s="9" t="s">
        <v>4</v>
      </c>
      <c r="D12" s="9" t="s">
        <v>5</v>
      </c>
      <c r="E12" s="7" t="s">
        <v>6</v>
      </c>
      <c r="F12" s="20" t="s">
        <v>82</v>
      </c>
      <c r="G12" s="7" t="s">
        <v>8</v>
      </c>
      <c r="H12" s="7" t="s">
        <v>9</v>
      </c>
      <c r="I12" s="9" t="s">
        <v>45</v>
      </c>
      <c r="J12" s="9">
        <v>500</v>
      </c>
      <c r="K12" s="9">
        <v>0.8</v>
      </c>
      <c r="L12" s="28">
        <f>'[113]Arc Results'!$I$10960+'[113]Arc Results'!$I$10971+'[113]Arc Results'!$I$10982+'[113]Arc Results'!$I$10993+'[113]Arc Results'!$I$11004+'[113]Arc Results'!$I$11015+'[113]Arc Results'!$I$11026+'[113]Arc Results'!$I$11037+'[113]Arc Results'!$I$11048+'[113]Arc Results'!$I$11059+'[113]Arc Results'!$I$11070+'[113]Arc Results'!$I$11081+'[113]Arc Results'!$I$11092+'[113]Arc Results'!$I$11103+'[113]Arc Results'!$I$11114+'[113]Arc Results'!$I$11125+'[113]Arc Results'!$I$11136+'[113]Arc Results'!$I$11147+'[113]Arc Results'!$I$11158+'[113]Arc Results'!$I$11169+'[113]Arc Results'!$I$11180+'[113]Arc Results'!$I$11191+'[113]Arc Results'!$I$11202+'[113]Arc Results'!$I$11213+'[113]Arc Results'!$I$11224+'[113]Arc Results'!$I$11235+'[113]Arc Results'!$I$11246+'[113]Arc Results'!$I$11257+'[113]Arc Results'!$I$11268</f>
        <v>4095.2483657142875</v>
      </c>
      <c r="M12" s="28">
        <f>'[113]Arc Results'!$I$257</f>
        <v>6165.6637714285598</v>
      </c>
      <c r="N12" s="28">
        <f t="shared" si="1"/>
        <v>5490</v>
      </c>
      <c r="O12" s="28">
        <f t="shared" si="2"/>
        <v>9978.9189189189201</v>
      </c>
      <c r="P12" s="28">
        <f t="shared" si="3"/>
        <v>7534.1293436293436</v>
      </c>
      <c r="Q12" s="28">
        <f t="shared" si="4"/>
        <v>2247.864864864865</v>
      </c>
      <c r="R12" s="28">
        <f t="shared" si="5"/>
        <v>552.64864864864865</v>
      </c>
      <c r="S12" s="28">
        <f t="shared" si="6"/>
        <v>528</v>
      </c>
      <c r="T12" s="28">
        <f t="shared" si="7"/>
        <v>6130</v>
      </c>
      <c r="U12" s="28" t="str">
        <f>[113]Log!$K$2</f>
        <v>341.198.002,69</v>
      </c>
      <c r="V12" s="28" t="str">
        <f>[113]Log!$J$2</f>
        <v>47.021.289,99</v>
      </c>
      <c r="W12" s="28" t="str">
        <f>[113]Log!$N$2</f>
        <v>71.928.700,54</v>
      </c>
      <c r="X12" s="32">
        <f t="shared" si="8"/>
        <v>0</v>
      </c>
      <c r="Y12" s="28"/>
      <c r="Z12" s="33">
        <f t="shared" si="9"/>
        <v>38627.225547490336</v>
      </c>
      <c r="AA12" s="28">
        <f>'[113]Arc Results'!$I$15</f>
        <v>264</v>
      </c>
      <c r="AB12" s="28">
        <f>'[113]Arc Results'!$I$26</f>
        <v>264</v>
      </c>
      <c r="AC12" s="28">
        <f>'[113]Arc Results'!$I$48</f>
        <v>1003.2277992277992</v>
      </c>
      <c r="AD12" s="28">
        <f>'[113]Arc Results'!$I$59</f>
        <v>1244.6370656370657</v>
      </c>
      <c r="AE12" s="28">
        <f>'[113]Arc Results'!$I$114</f>
        <v>263.56370656370655</v>
      </c>
      <c r="AF12" s="28">
        <f>'[113]Arc Results'!$I$125</f>
        <v>289.0849420849421</v>
      </c>
      <c r="AG12" s="28">
        <f>'[113]Arc Results'!$I$147</f>
        <v>2745</v>
      </c>
      <c r="AH12" s="28">
        <f>'[113]Arc Results'!$I$158</f>
        <v>2745</v>
      </c>
      <c r="AI12" s="28">
        <f>'[113]Arc Results'!$I$213</f>
        <v>4848.1081081081084</v>
      </c>
      <c r="AJ12" s="28">
        <f>'[113]Arc Results'!$I$224</f>
        <v>5130.8108108108108</v>
      </c>
      <c r="AK12" s="28">
        <f>'[113]Arc Results'!$I$180</f>
        <v>3063</v>
      </c>
      <c r="AL12" s="28">
        <f>'[113]Arc Results'!$I$191</f>
        <v>3067</v>
      </c>
      <c r="AM12" s="28">
        <f>'[113]Arc Results'!$I$81</f>
        <v>3767.0646718146718</v>
      </c>
      <c r="AN12" s="28">
        <f>'[113]Arc Results'!$I$81</f>
        <v>3767.0646718146718</v>
      </c>
      <c r="AP12" s="9">
        <f t="shared" si="10"/>
        <v>1</v>
      </c>
      <c r="AQ12" s="9">
        <f t="shared" si="11"/>
        <v>1.1073949195890738</v>
      </c>
      <c r="AR12" s="9">
        <f t="shared" si="12"/>
        <v>1.0461798569192935</v>
      </c>
      <c r="AS12" s="9">
        <f t="shared" si="13"/>
        <v>1</v>
      </c>
      <c r="AT12" s="9">
        <f t="shared" si="14"/>
        <v>1.0283299929581278</v>
      </c>
      <c r="AU12" s="9">
        <f t="shared" si="15"/>
        <v>1.000652528548124</v>
      </c>
      <c r="AV12" s="9">
        <f t="shared" si="16"/>
        <v>1</v>
      </c>
    </row>
    <row r="13" spans="1:48" ht="15.75">
      <c r="A13">
        <f t="shared" si="17"/>
        <v>9</v>
      </c>
      <c r="B13" s="9">
        <v>2020</v>
      </c>
      <c r="C13" s="9" t="s">
        <v>4</v>
      </c>
      <c r="D13" s="9" t="s">
        <v>5</v>
      </c>
      <c r="E13" s="7" t="s">
        <v>6</v>
      </c>
      <c r="F13" s="20" t="s">
        <v>83</v>
      </c>
      <c r="G13" s="7" t="s">
        <v>8</v>
      </c>
      <c r="H13" s="7" t="s">
        <v>9</v>
      </c>
      <c r="I13" s="9" t="s">
        <v>45</v>
      </c>
      <c r="J13" s="9">
        <v>500</v>
      </c>
      <c r="K13" s="9">
        <v>0.8</v>
      </c>
      <c r="L13" s="28">
        <f>'[114]Arc Results'!$I$10960+'[114]Arc Results'!$I$10971+'[114]Arc Results'!$I$10982+'[114]Arc Results'!$I$10993+'[114]Arc Results'!$I$11004+'[114]Arc Results'!$I$11015+'[114]Arc Results'!$I$11026+'[114]Arc Results'!$I$11037+'[114]Arc Results'!$I$11048+'[114]Arc Results'!$I$11059+'[114]Arc Results'!$I$11070+'[114]Arc Results'!$I$11081+'[114]Arc Results'!$I$11092+'[114]Arc Results'!$I$11103+'[114]Arc Results'!$I$11114+'[114]Arc Results'!$I$11125+'[114]Arc Results'!$I$11136+'[114]Arc Results'!$I$11147+'[114]Arc Results'!$I$11158+'[114]Arc Results'!$I$11169+'[114]Arc Results'!$I$11180+'[114]Arc Results'!$I$11191+'[114]Arc Results'!$I$11202+'[114]Arc Results'!$I$11213+'[114]Arc Results'!$I$11224+'[114]Arc Results'!$I$11235+'[114]Arc Results'!$I$11246+'[114]Arc Results'!$I$11257+'[114]Arc Results'!$I$11268</f>
        <v>4163.6448679184095</v>
      </c>
      <c r="M13" s="28">
        <f>'[114]Arc Results'!$I$257</f>
        <v>6165.6637714285698</v>
      </c>
      <c r="N13" s="28">
        <f t="shared" si="1"/>
        <v>5766.8581081081084</v>
      </c>
      <c r="O13" s="28">
        <f t="shared" si="2"/>
        <v>8058.8963963963961</v>
      </c>
      <c r="P13" s="28">
        <f t="shared" si="3"/>
        <v>8630.2853596205969</v>
      </c>
      <c r="Q13" s="28">
        <f t="shared" si="4"/>
        <v>2719.906332046332</v>
      </c>
      <c r="R13" s="28">
        <f t="shared" si="5"/>
        <v>597.31081081081084</v>
      </c>
      <c r="S13" s="28">
        <f t="shared" si="6"/>
        <v>528</v>
      </c>
      <c r="T13" s="28">
        <f t="shared" si="7"/>
        <v>6130</v>
      </c>
      <c r="U13" s="28" t="str">
        <f>[114]Log!$K$2</f>
        <v>349.021.232,29</v>
      </c>
      <c r="V13" s="28" t="str">
        <f>[114]Log!$J$2</f>
        <v>47.021.289,99</v>
      </c>
      <c r="W13" s="28" t="str">
        <f>[114]Log!$N$2</f>
        <v>71.928.700,54</v>
      </c>
      <c r="X13" s="32">
        <f t="shared" si="8"/>
        <v>0</v>
      </c>
      <c r="Y13" s="28"/>
      <c r="Z13" s="33">
        <f t="shared" si="9"/>
        <v>38596.920778410815</v>
      </c>
      <c r="AA13" s="28">
        <f>'[114]Arc Results'!$I$15</f>
        <v>264</v>
      </c>
      <c r="AB13" s="28">
        <f>'[114]Arc Results'!$I$26</f>
        <v>264</v>
      </c>
      <c r="AC13" s="28">
        <f>'[114]Arc Results'!$I$48</f>
        <v>1233.8600000000001</v>
      </c>
      <c r="AD13" s="28">
        <f>'[114]Arc Results'!$I$59</f>
        <v>1486.0463320463321</v>
      </c>
      <c r="AE13" s="28">
        <f>'[114]Arc Results'!$I$114</f>
        <v>282.70463320463318</v>
      </c>
      <c r="AF13" s="28">
        <f>'[114]Arc Results'!$I$125</f>
        <v>314.6061776061776</v>
      </c>
      <c r="AG13" s="28">
        <f>'[114]Arc Results'!$I$147</f>
        <v>2863.6534749034749</v>
      </c>
      <c r="AH13" s="28">
        <f>'[114]Arc Results'!$I$158</f>
        <v>2903.2046332046334</v>
      </c>
      <c r="AI13" s="28">
        <f>'[114]Arc Results'!$I$213</f>
        <v>4000</v>
      </c>
      <c r="AJ13" s="28">
        <f>'[114]Arc Results'!$I$224</f>
        <v>4058.8963963963965</v>
      </c>
      <c r="AK13" s="28">
        <f>'[114]Arc Results'!$I$180</f>
        <v>3063</v>
      </c>
      <c r="AL13" s="28">
        <f>'[114]Arc Results'!$I$191</f>
        <v>3067</v>
      </c>
      <c r="AM13" s="28">
        <f>'[114]Arc Results'!$I$81</f>
        <v>4315.1426798102984</v>
      </c>
      <c r="AN13" s="28">
        <f>'[114]Arc Results'!$I$81</f>
        <v>4315.1426798102984</v>
      </c>
      <c r="AP13" s="9">
        <f t="shared" si="10"/>
        <v>1</v>
      </c>
      <c r="AQ13" s="9">
        <f t="shared" si="11"/>
        <v>1.0927187561847391</v>
      </c>
      <c r="AR13" s="9">
        <f t="shared" si="12"/>
        <v>1.0534086171288948</v>
      </c>
      <c r="AS13" s="9">
        <f t="shared" si="13"/>
        <v>1.0068583546811305</v>
      </c>
      <c r="AT13" s="9">
        <f t="shared" si="14"/>
        <v>1.0073082458812515</v>
      </c>
      <c r="AU13" s="9">
        <f t="shared" si="15"/>
        <v>1.000652528548124</v>
      </c>
      <c r="AV13" s="9">
        <f t="shared" si="16"/>
        <v>1</v>
      </c>
    </row>
    <row r="14" spans="1:48" ht="15.75">
      <c r="A14">
        <f t="shared" si="17"/>
        <v>10</v>
      </c>
      <c r="B14" s="9">
        <v>2020</v>
      </c>
      <c r="C14" s="9" t="s">
        <v>4</v>
      </c>
      <c r="D14" s="9" t="s">
        <v>5</v>
      </c>
      <c r="E14" s="7" t="s">
        <v>6</v>
      </c>
      <c r="F14" s="20" t="s">
        <v>84</v>
      </c>
      <c r="G14" s="7" t="s">
        <v>8</v>
      </c>
      <c r="H14" s="7" t="s">
        <v>9</v>
      </c>
      <c r="I14" s="9" t="s">
        <v>45</v>
      </c>
      <c r="J14" s="9">
        <v>500</v>
      </c>
      <c r="K14" s="9">
        <v>0.8</v>
      </c>
      <c r="L14" s="28">
        <f>'[115]Arc Results'!$I$10960+'[115]Arc Results'!$I$10971+'[115]Arc Results'!$I$10982+'[115]Arc Results'!$I$10993+'[115]Arc Results'!$I$11004+'[115]Arc Results'!$I$11015+'[115]Arc Results'!$I$11026+'[115]Arc Results'!$I$11037+'[115]Arc Results'!$I$11048+'[115]Arc Results'!$I$11059+'[115]Arc Results'!$I$11070+'[115]Arc Results'!$I$11081+'[115]Arc Results'!$I$11092+'[115]Arc Results'!$I$11103+'[115]Arc Results'!$I$11114+'[115]Arc Results'!$I$11125+'[115]Arc Results'!$I$11136+'[115]Arc Results'!$I$11147+'[115]Arc Results'!$I$11158+'[115]Arc Results'!$I$11169+'[115]Arc Results'!$I$11180+'[115]Arc Results'!$I$11191+'[115]Arc Results'!$I$11202+'[115]Arc Results'!$I$11213+'[115]Arc Results'!$I$11224+'[115]Arc Results'!$I$11235+'[115]Arc Results'!$I$11246+'[115]Arc Results'!$I$11257+'[115]Arc Results'!$I$11268</f>
        <v>3564.5676707335924</v>
      </c>
      <c r="M14" s="28">
        <f>'[115]Arc Results'!$I$257</f>
        <v>6165.6637714285825</v>
      </c>
      <c r="N14" s="28">
        <f t="shared" si="1"/>
        <v>6124.0000000000064</v>
      </c>
      <c r="O14" s="28">
        <f t="shared" si="2"/>
        <v>11504.000000000004</v>
      </c>
      <c r="P14" s="28">
        <f t="shared" si="3"/>
        <v>4628</v>
      </c>
      <c r="Q14" s="28">
        <f t="shared" si="4"/>
        <v>3136.6440154440152</v>
      </c>
      <c r="R14" s="28">
        <f t="shared" si="5"/>
        <v>644.5258687258688</v>
      </c>
      <c r="S14" s="28">
        <f t="shared" si="6"/>
        <v>528</v>
      </c>
      <c r="T14" s="28">
        <f t="shared" si="7"/>
        <v>6130</v>
      </c>
      <c r="U14" s="28" t="str">
        <f>[115]Log!$K$2</f>
        <v>343.462.380,18</v>
      </c>
      <c r="V14" s="28" t="str">
        <f>[115]Log!$J$2</f>
        <v>47.021.289,99</v>
      </c>
      <c r="W14" s="28" t="str">
        <f>[115]Log!$N$2</f>
        <v>71.928.700,54</v>
      </c>
      <c r="X14" s="32">
        <f t="shared" si="8"/>
        <v>0</v>
      </c>
      <c r="Y14" s="28"/>
      <c r="Z14" s="33">
        <f t="shared" si="9"/>
        <v>38860.833655598479</v>
      </c>
      <c r="AA14" s="28">
        <f>'[115]Arc Results'!$I$15</f>
        <v>264</v>
      </c>
      <c r="AB14" s="28">
        <f>'[115]Arc Results'!$I$26</f>
        <v>264</v>
      </c>
      <c r="AC14" s="28">
        <f>'[115]Arc Results'!$I$48</f>
        <v>1425.6940154440153</v>
      </c>
      <c r="AD14" s="28">
        <f>'[115]Arc Results'!$I$59</f>
        <v>1710.95</v>
      </c>
      <c r="AE14" s="28">
        <f>'[115]Arc Results'!$I$114</f>
        <v>308.22586872586874</v>
      </c>
      <c r="AF14" s="28">
        <f>'[115]Arc Results'!$I$125</f>
        <v>336.3</v>
      </c>
      <c r="AG14" s="28">
        <f>'[115]Arc Results'!$I$147</f>
        <v>2871.5637065637065</v>
      </c>
      <c r="AH14" s="28">
        <f>'[115]Arc Results'!$I$158</f>
        <v>3252.4362934362998</v>
      </c>
      <c r="AI14" s="28">
        <f>'[115]Arc Results'!$I$213</f>
        <v>5176.800000000002</v>
      </c>
      <c r="AJ14" s="28">
        <f>'[115]Arc Results'!$I$224</f>
        <v>6327.2000000000007</v>
      </c>
      <c r="AK14" s="28">
        <f>'[115]Arc Results'!$I$180</f>
        <v>3063</v>
      </c>
      <c r="AL14" s="28">
        <f>'[115]Arc Results'!$I$191</f>
        <v>3067</v>
      </c>
      <c r="AM14" s="28">
        <f>'[115]Arc Results'!$I$81</f>
        <v>2314</v>
      </c>
      <c r="AN14" s="28">
        <f>'[115]Arc Results'!$I$81</f>
        <v>2314</v>
      </c>
      <c r="AP14" s="9">
        <f t="shared" si="10"/>
        <v>1</v>
      </c>
      <c r="AQ14" s="9">
        <f t="shared" si="11"/>
        <v>1.0909430535156235</v>
      </c>
      <c r="AR14" s="9">
        <f t="shared" si="12"/>
        <v>1.0435578037071338</v>
      </c>
      <c r="AS14" s="9">
        <f t="shared" si="13"/>
        <v>1.0621934335193652</v>
      </c>
      <c r="AT14" s="9">
        <f t="shared" si="14"/>
        <v>1.0999999999999999</v>
      </c>
      <c r="AU14" s="9">
        <f t="shared" si="15"/>
        <v>1.000652528548124</v>
      </c>
      <c r="AV14" s="9">
        <f t="shared" si="16"/>
        <v>1</v>
      </c>
    </row>
    <row r="15" spans="1:48" ht="15.75">
      <c r="A15">
        <f t="shared" si="17"/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20" t="s">
        <v>85</v>
      </c>
      <c r="G15" s="7" t="s">
        <v>8</v>
      </c>
      <c r="H15" s="7" t="s">
        <v>9</v>
      </c>
      <c r="I15" s="9" t="s">
        <v>45</v>
      </c>
      <c r="J15" s="9">
        <v>500</v>
      </c>
      <c r="K15" s="9">
        <v>0.8</v>
      </c>
      <c r="L15" s="28">
        <f>'[116]Arc Results'!$I$10960+'[116]Arc Results'!$I$10971+'[116]Arc Results'!$I$10982+'[116]Arc Results'!$I$10993+'[116]Arc Results'!$I$11004+'[116]Arc Results'!$I$11015+'[116]Arc Results'!$I$11026+'[116]Arc Results'!$I$11037+'[116]Arc Results'!$I$11048+'[116]Arc Results'!$I$11059+'[116]Arc Results'!$I$11070+'[116]Arc Results'!$I$11081+'[116]Arc Results'!$I$11092+'[116]Arc Results'!$I$11103+'[116]Arc Results'!$I$11114+'[116]Arc Results'!$I$11125+'[116]Arc Results'!$I$11136+'[116]Arc Results'!$I$11147+'[116]Arc Results'!$I$11158+'[116]Arc Results'!$I$11169+'[116]Arc Results'!$I$11180+'[116]Arc Results'!$I$11191+'[116]Arc Results'!$I$11202+'[116]Arc Results'!$I$11213+'[116]Arc Results'!$I$11224+'[116]Arc Results'!$I$11235+'[116]Arc Results'!$I$11246+'[116]Arc Results'!$I$11257+'[116]Arc Results'!$I$11268</f>
        <v>3944.9027508012955</v>
      </c>
      <c r="M15" s="28">
        <f>'[116]Arc Results'!$I$257</f>
        <v>6165.6637714285598</v>
      </c>
      <c r="N15" s="28">
        <f t="shared" si="1"/>
        <v>5719.3967181467178</v>
      </c>
      <c r="O15" s="28">
        <f t="shared" si="2"/>
        <v>10049.594594594595</v>
      </c>
      <c r="P15" s="28">
        <f t="shared" si="3"/>
        <v>7534.1293436293436</v>
      </c>
      <c r="Q15" s="28">
        <f t="shared" si="4"/>
        <v>2326.9487866314066</v>
      </c>
      <c r="R15" s="28">
        <f t="shared" si="5"/>
        <v>559.02895752895756</v>
      </c>
      <c r="S15" s="28">
        <f t="shared" si="6"/>
        <v>0</v>
      </c>
      <c r="T15" s="28">
        <f t="shared" si="7"/>
        <v>6130</v>
      </c>
      <c r="U15" s="28" t="str">
        <f>[116]Log!$K$2</f>
        <v>328.843.672,55</v>
      </c>
      <c r="V15" s="28" t="str">
        <f>[116]Log!$J$2</f>
        <v>47.021.289,99</v>
      </c>
      <c r="W15" s="28" t="str">
        <f>[116]Log!$N$2</f>
        <v>71.928.700,54</v>
      </c>
      <c r="X15" s="32">
        <f t="shared" si="8"/>
        <v>0</v>
      </c>
      <c r="Y15" s="28"/>
      <c r="Z15" s="33">
        <f t="shared" si="9"/>
        <v>38484.762171959577</v>
      </c>
      <c r="AA15" s="28">
        <f>'[116]Arc Results'!$I$15</f>
        <v>0</v>
      </c>
      <c r="AB15" s="28">
        <f>'[116]Arc Results'!$I$26</f>
        <v>0</v>
      </c>
      <c r="AC15" s="28">
        <f>'[116]Arc Results'!$I$48</f>
        <v>1021.9594043920245</v>
      </c>
      <c r="AD15" s="28">
        <f>'[116]Arc Results'!$I$59</f>
        <v>1304.9893822393822</v>
      </c>
      <c r="AE15" s="28">
        <f>'[116]Arc Results'!$I$114</f>
        <v>263.56370656370655</v>
      </c>
      <c r="AF15" s="28">
        <f>'[116]Arc Results'!$I$125</f>
        <v>295.46525096525096</v>
      </c>
      <c r="AG15" s="28">
        <f>'[116]Arc Results'!$I$147</f>
        <v>2839.9227799227801</v>
      </c>
      <c r="AH15" s="28">
        <f>'[116]Arc Results'!$I$158</f>
        <v>2879.4739382239381</v>
      </c>
      <c r="AI15" s="28">
        <f>'[116]Arc Results'!$I$213</f>
        <v>4848.1081081081084</v>
      </c>
      <c r="AJ15" s="28">
        <f>'[116]Arc Results'!$I$224</f>
        <v>5201.4864864864867</v>
      </c>
      <c r="AK15" s="28">
        <f>'[116]Arc Results'!$I$180</f>
        <v>3063</v>
      </c>
      <c r="AL15" s="28">
        <f>'[116]Arc Results'!$I$191</f>
        <v>3067</v>
      </c>
      <c r="AM15" s="28">
        <f>'[116]Arc Results'!$I$81</f>
        <v>3767.0646718146718</v>
      </c>
      <c r="AN15" s="28">
        <f>'[116]Arc Results'!$I$81</f>
        <v>3767.0646718146718</v>
      </c>
      <c r="AP15" s="9" t="e">
        <f t="shared" si="10"/>
        <v>#DIV/0!</v>
      </c>
      <c r="AQ15" s="9">
        <f t="shared" si="11"/>
        <v>1.1216313738718264</v>
      </c>
      <c r="AR15" s="9">
        <f t="shared" si="12"/>
        <v>1.0570659962635154</v>
      </c>
      <c r="AS15" s="9">
        <f t="shared" si="13"/>
        <v>1.0069152675098878</v>
      </c>
      <c r="AT15" s="9">
        <f t="shared" si="14"/>
        <v>1.0351634461521912</v>
      </c>
      <c r="AU15" s="9">
        <f t="shared" si="15"/>
        <v>1.000652528548124</v>
      </c>
      <c r="AV15" s="9">
        <f t="shared" si="16"/>
        <v>1</v>
      </c>
    </row>
    <row r="16" spans="1:48" ht="15.75">
      <c r="A16">
        <f t="shared" si="17"/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20" t="s">
        <v>86</v>
      </c>
      <c r="G16" s="7" t="s">
        <v>8</v>
      </c>
      <c r="H16" s="7" t="s">
        <v>9</v>
      </c>
      <c r="I16" s="9" t="s">
        <v>45</v>
      </c>
      <c r="J16" s="9">
        <v>500</v>
      </c>
      <c r="K16" s="9">
        <v>0.8</v>
      </c>
      <c r="L16" s="28">
        <f>'[117]Arc Results'!$I$10960+'[117]Arc Results'!$I$10971+'[117]Arc Results'!$I$10982+'[117]Arc Results'!$I$10993+'[117]Arc Results'!$I$11004+'[117]Arc Results'!$I$11015+'[117]Arc Results'!$I$11026+'[117]Arc Results'!$I$11037+'[117]Arc Results'!$I$11048+'[117]Arc Results'!$I$11059+'[117]Arc Results'!$I$11070+'[117]Arc Results'!$I$11081+'[117]Arc Results'!$I$11092+'[117]Arc Results'!$I$11103+'[117]Arc Results'!$I$11114+'[117]Arc Results'!$I$11125+'[117]Arc Results'!$I$11136+'[117]Arc Results'!$I$11147+'[117]Arc Results'!$I$11158+'[117]Arc Results'!$I$11169+'[117]Arc Results'!$I$11180+'[117]Arc Results'!$I$11191+'[117]Arc Results'!$I$11202+'[117]Arc Results'!$I$11213+'[117]Arc Results'!$I$11224+'[117]Arc Results'!$I$11235+'[117]Arc Results'!$I$11246+'[117]Arc Results'!$I$11257+'[117]Arc Results'!$I$11268</f>
        <v>4156.7613966023209</v>
      </c>
      <c r="M16" s="28">
        <f>'[117]Arc Results'!$I$257</f>
        <v>6165.6637714285598</v>
      </c>
      <c r="N16" s="28">
        <f t="shared" si="1"/>
        <v>5758.9478764478772</v>
      </c>
      <c r="O16" s="28">
        <f t="shared" si="2"/>
        <v>10402.972972972973</v>
      </c>
      <c r="P16" s="28">
        <f t="shared" si="3"/>
        <v>8405.9681467181472</v>
      </c>
      <c r="Q16" s="28">
        <f t="shared" si="4"/>
        <v>608.29359716859722</v>
      </c>
      <c r="R16" s="28">
        <f t="shared" si="5"/>
        <v>590.93050193050192</v>
      </c>
      <c r="S16" s="28">
        <f t="shared" si="6"/>
        <v>528</v>
      </c>
      <c r="T16" s="28">
        <f t="shared" si="7"/>
        <v>6130</v>
      </c>
      <c r="U16" s="28" t="str">
        <f>[117]Log!$K$2</f>
        <v>331.277.679,23</v>
      </c>
      <c r="V16" s="28" t="str">
        <f>[117]Log!$J$2</f>
        <v>47.021.289,99</v>
      </c>
      <c r="W16" s="28" t="str">
        <f>[117]Log!$N$2</f>
        <v>71.928.700,54</v>
      </c>
      <c r="X16" s="32">
        <f t="shared" si="8"/>
        <v>0</v>
      </c>
      <c r="Y16" s="28"/>
      <c r="Z16" s="33">
        <f t="shared" si="9"/>
        <v>38590.77686666666</v>
      </c>
      <c r="AA16" s="28">
        <f>'[117]Arc Results'!$I$15</f>
        <v>264</v>
      </c>
      <c r="AB16" s="28">
        <f>'[117]Arc Results'!$I$26</f>
        <v>264</v>
      </c>
      <c r="AC16" s="28">
        <f>'[117]Arc Results'!$I$48</f>
        <v>279</v>
      </c>
      <c r="AD16" s="28">
        <f>'[117]Arc Results'!$I$59</f>
        <v>329.29359716859716</v>
      </c>
      <c r="AE16" s="28">
        <f>'[117]Arc Results'!$I$114</f>
        <v>282.70463320463318</v>
      </c>
      <c r="AF16" s="28">
        <f>'[117]Arc Results'!$I$125</f>
        <v>308.22586872586874</v>
      </c>
      <c r="AG16" s="28">
        <f>'[117]Arc Results'!$I$147</f>
        <v>2863.6534749034749</v>
      </c>
      <c r="AH16" s="28">
        <f>'[117]Arc Results'!$I$158</f>
        <v>2895.2944015444018</v>
      </c>
      <c r="AI16" s="28">
        <f>'[117]Arc Results'!$I$213</f>
        <v>5060.135135135135</v>
      </c>
      <c r="AJ16" s="28">
        <f>'[117]Arc Results'!$I$224</f>
        <v>5342.8378378378375</v>
      </c>
      <c r="AK16" s="28">
        <f>'[117]Arc Results'!$I$180</f>
        <v>3063</v>
      </c>
      <c r="AL16" s="28">
        <f>'[117]Arc Results'!$I$191</f>
        <v>3067</v>
      </c>
      <c r="AM16" s="28">
        <f>'[117]Arc Results'!$I$81</f>
        <v>4202.9840733590736</v>
      </c>
      <c r="AN16" s="28">
        <f>'[117]Arc Results'!$I$81</f>
        <v>4202.9840733590736</v>
      </c>
      <c r="AP16" s="9">
        <f t="shared" si="10"/>
        <v>1</v>
      </c>
      <c r="AQ16" s="9">
        <f t="shared" si="11"/>
        <v>1.0826798069266172</v>
      </c>
      <c r="AR16" s="9">
        <f t="shared" si="12"/>
        <v>1.0431882183063161</v>
      </c>
      <c r="AS16" s="9">
        <f t="shared" si="13"/>
        <v>1.0054942200068049</v>
      </c>
      <c r="AT16" s="9">
        <f t="shared" si="14"/>
        <v>1.027175183809202</v>
      </c>
      <c r="AU16" s="9">
        <f t="shared" si="15"/>
        <v>1.000652528548124</v>
      </c>
      <c r="AV16" s="9">
        <f t="shared" si="16"/>
        <v>1</v>
      </c>
    </row>
    <row r="17" spans="1:48" ht="15.75">
      <c r="A17">
        <f t="shared" si="17"/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20" t="s">
        <v>87</v>
      </c>
      <c r="G17" s="7" t="s">
        <v>8</v>
      </c>
      <c r="H17" s="7" t="s">
        <v>9</v>
      </c>
      <c r="I17" s="9" t="s">
        <v>45</v>
      </c>
      <c r="J17" s="9">
        <v>500</v>
      </c>
      <c r="K17" s="9">
        <v>0.8</v>
      </c>
      <c r="L17" s="28">
        <f>'[118]Arc Results'!$I$10960+'[118]Arc Results'!$I$10971+'[118]Arc Results'!$I$10982+'[118]Arc Results'!$I$10993+'[118]Arc Results'!$I$11004+'[118]Arc Results'!$I$11015+'[118]Arc Results'!$I$11026+'[118]Arc Results'!$I$11037+'[118]Arc Results'!$I$11048+'[118]Arc Results'!$I$11059+'[118]Arc Results'!$I$11070+'[118]Arc Results'!$I$11081+'[118]Arc Results'!$I$11092+'[118]Arc Results'!$I$11103+'[118]Arc Results'!$I$11114+'[118]Arc Results'!$I$11125+'[118]Arc Results'!$I$11136+'[118]Arc Results'!$I$11147+'[118]Arc Results'!$I$11158+'[118]Arc Results'!$I$11169+'[118]Arc Results'!$I$11180+'[118]Arc Results'!$I$11191+'[118]Arc Results'!$I$11202+'[118]Arc Results'!$I$11213+'[118]Arc Results'!$I$11224+'[118]Arc Results'!$I$11235+'[118]Arc Results'!$I$11246+'[118]Arc Results'!$I$11257+'[118]Arc Results'!$I$11268</f>
        <v>4073.612692886235</v>
      </c>
      <c r="M17" s="28">
        <f>'[118]Arc Results'!$I$257</f>
        <v>6165.6637714285534</v>
      </c>
      <c r="N17" s="28">
        <f t="shared" si="1"/>
        <v>5711.4864864864867</v>
      </c>
      <c r="O17" s="28">
        <f t="shared" si="2"/>
        <v>9948.734983542603</v>
      </c>
      <c r="P17" s="28">
        <f t="shared" si="3"/>
        <v>7534.1293436293436</v>
      </c>
      <c r="Q17" s="28">
        <f t="shared" si="4"/>
        <v>2247.864864864865</v>
      </c>
      <c r="R17" s="28">
        <f t="shared" si="5"/>
        <v>374.00000000000063</v>
      </c>
      <c r="S17" s="28">
        <f t="shared" si="6"/>
        <v>518.18918918918916</v>
      </c>
      <c r="T17" s="28">
        <f t="shared" si="7"/>
        <v>6130</v>
      </c>
      <c r="U17" s="28" t="str">
        <f>[118]Log!$K$2</f>
        <v>329.247.498,71</v>
      </c>
      <c r="V17" s="28" t="str">
        <f>[118]Log!$J$2</f>
        <v>47.021.289,99</v>
      </c>
      <c r="W17" s="28" t="str">
        <f>[118]Log!$N$2</f>
        <v>71.928.700,54</v>
      </c>
      <c r="X17" s="32">
        <f t="shared" si="8"/>
        <v>0</v>
      </c>
      <c r="Y17" s="28"/>
      <c r="Z17" s="33">
        <f t="shared" si="9"/>
        <v>38630.068639141042</v>
      </c>
      <c r="AA17" s="28">
        <f>'[118]Arc Results'!$I$15</f>
        <v>254.18918918918914</v>
      </c>
      <c r="AB17" s="28">
        <f>'[118]Arc Results'!$I$26</f>
        <v>264</v>
      </c>
      <c r="AC17" s="28">
        <f>'[118]Arc Results'!$I$48</f>
        <v>1003.2277992277992</v>
      </c>
      <c r="AD17" s="28">
        <f>'[118]Arc Results'!$I$59</f>
        <v>1244.6370656370657</v>
      </c>
      <c r="AE17" s="28">
        <f>'[118]Arc Results'!$I$114</f>
        <v>187</v>
      </c>
      <c r="AF17" s="28">
        <f>'[118]Arc Results'!$I$125</f>
        <v>187.00000000000063</v>
      </c>
      <c r="AG17" s="28">
        <f>'[118]Arc Results'!$I$147</f>
        <v>2839.9227799227801</v>
      </c>
      <c r="AH17" s="28">
        <f>'[118]Arc Results'!$I$158</f>
        <v>2871.5637065637065</v>
      </c>
      <c r="AI17" s="28">
        <f>'[118]Arc Results'!$I$213</f>
        <v>4817.9241727317922</v>
      </c>
      <c r="AJ17" s="28">
        <f>'[118]Arc Results'!$I$224</f>
        <v>5130.8108108108108</v>
      </c>
      <c r="AK17" s="28">
        <f>'[118]Arc Results'!$I$180</f>
        <v>3063</v>
      </c>
      <c r="AL17" s="28">
        <f>'[118]Arc Results'!$I$191</f>
        <v>3067.0000000000005</v>
      </c>
      <c r="AM17" s="28">
        <f>'[118]Arc Results'!$I$81</f>
        <v>3767.0646718146718</v>
      </c>
      <c r="AN17" s="28">
        <f>'[118]Arc Results'!$I$81</f>
        <v>3767.0646718146718</v>
      </c>
      <c r="AP17" s="9">
        <f t="shared" si="10"/>
        <v>1.0189328743545611</v>
      </c>
      <c r="AQ17" s="9">
        <f t="shared" si="11"/>
        <v>1.1073949195890738</v>
      </c>
      <c r="AR17" s="9">
        <f t="shared" si="12"/>
        <v>1.0000000000000018</v>
      </c>
      <c r="AS17" s="9">
        <f t="shared" si="13"/>
        <v>1.0055398759527472</v>
      </c>
      <c r="AT17" s="9">
        <f t="shared" si="14"/>
        <v>1.031449891729612</v>
      </c>
      <c r="AU17" s="9">
        <f t="shared" si="15"/>
        <v>1.000652528548124</v>
      </c>
      <c r="AV17" s="9">
        <f t="shared" si="16"/>
        <v>1</v>
      </c>
    </row>
    <row r="18" spans="1:48" ht="15.75">
      <c r="A18">
        <f t="shared" si="17"/>
        <v>14</v>
      </c>
      <c r="B18" s="9">
        <v>2020</v>
      </c>
      <c r="C18" s="9" t="s">
        <v>4</v>
      </c>
      <c r="D18" s="9" t="s">
        <v>88</v>
      </c>
      <c r="E18" s="7" t="s">
        <v>6</v>
      </c>
      <c r="F18" s="20" t="s">
        <v>7</v>
      </c>
      <c r="G18" s="7" t="s">
        <v>8</v>
      </c>
      <c r="H18" s="7" t="s">
        <v>9</v>
      </c>
      <c r="I18" s="9" t="s">
        <v>45</v>
      </c>
      <c r="J18" s="9">
        <v>500</v>
      </c>
      <c r="K18" s="9">
        <v>0.8</v>
      </c>
      <c r="L18" s="28">
        <f>'[119]Arc Results'!$I$10960+'[119]Arc Results'!$I$10971+'[119]Arc Results'!$I$10982+'[119]Arc Results'!$I$10993+'[119]Arc Results'!$I$11004+'[119]Arc Results'!$I$11015+'[119]Arc Results'!$I$11026+'[119]Arc Results'!$I$11037+'[119]Arc Results'!$I$11048+'[119]Arc Results'!$I$11059+'[119]Arc Results'!$I$11070+'[119]Arc Results'!$I$11081+'[119]Arc Results'!$I$11092+'[119]Arc Results'!$I$11103+'[119]Arc Results'!$I$11114+'[119]Arc Results'!$I$11125+'[119]Arc Results'!$I$11136+'[119]Arc Results'!$I$11147+'[119]Arc Results'!$I$11158+'[119]Arc Results'!$I$11169+'[119]Arc Results'!$I$11180+'[119]Arc Results'!$I$11191+'[119]Arc Results'!$I$11202+'[119]Arc Results'!$I$11213+'[119]Arc Results'!$I$11224+'[119]Arc Results'!$I$11235+'[119]Arc Results'!$I$11246+'[119]Arc Results'!$I$11257+'[119]Arc Results'!$I$11268</f>
        <v>3273.6919528700896</v>
      </c>
      <c r="M18" s="28">
        <f>'[119]Arc Results'!$I$257</f>
        <v>14299.710171428565</v>
      </c>
      <c r="N18" s="28">
        <f t="shared" si="1"/>
        <v>5588.9783317220526</v>
      </c>
      <c r="O18" s="28">
        <f t="shared" si="2"/>
        <v>8884.8338368580062</v>
      </c>
      <c r="P18" s="28">
        <f t="shared" si="3"/>
        <v>5537.5921450151054</v>
      </c>
      <c r="Q18" s="28">
        <f t="shared" si="4"/>
        <v>1313.5891238670695</v>
      </c>
      <c r="R18" s="28">
        <f t="shared" si="5"/>
        <v>453.87915407854985</v>
      </c>
      <c r="S18" s="28">
        <f t="shared" si="6"/>
        <v>289.30513595166161</v>
      </c>
      <c r="T18" s="28">
        <f t="shared" si="7"/>
        <v>6130</v>
      </c>
      <c r="U18" s="28" t="str">
        <f>[119]Log!$K$2</f>
        <v>340.612.833,17</v>
      </c>
      <c r="V18" s="28" t="str">
        <f>[119]Log!$J$2</f>
        <v>89.447.971,23</v>
      </c>
      <c r="W18" s="28" t="str">
        <f>[119]Log!$N$2</f>
        <v>35.475.755,55</v>
      </c>
      <c r="X18" s="32">
        <f t="shared" si="8"/>
        <v>0</v>
      </c>
      <c r="Y18" s="28"/>
      <c r="Z18" s="33">
        <f t="shared" si="9"/>
        <v>42497.887898921013</v>
      </c>
      <c r="AA18" s="28">
        <f>'[119]Arc Results'!$I$15</f>
        <v>108.48942598187311</v>
      </c>
      <c r="AB18" s="28">
        <f>'[119]Arc Results'!$I$26</f>
        <v>180.81570996978851</v>
      </c>
      <c r="AC18" s="28">
        <f>'[119]Arc Results'!$I$48</f>
        <v>562.34592145015108</v>
      </c>
      <c r="AD18" s="28">
        <f>'[119]Arc Results'!$I$59</f>
        <v>751.24320241691839</v>
      </c>
      <c r="AE18" s="28">
        <f>'[119]Arc Results'!$I$114</f>
        <v>216.95468277945619</v>
      </c>
      <c r="AF18" s="28">
        <f>'[119]Arc Results'!$I$125</f>
        <v>236.92447129909365</v>
      </c>
      <c r="AG18" s="28">
        <f>'[119]Arc Results'!$I$147</f>
        <v>2782.0825613293032</v>
      </c>
      <c r="AH18" s="28">
        <f>'[119]Arc Results'!$I$158</f>
        <v>2806.8957703927495</v>
      </c>
      <c r="AI18" s="28">
        <f>'[119]Arc Results'!$I$213</f>
        <v>4331.8126888217521</v>
      </c>
      <c r="AJ18" s="28">
        <f>'[119]Arc Results'!$I$224</f>
        <v>4553.0211480362541</v>
      </c>
      <c r="AK18" s="28">
        <f>'[119]Arc Results'!$I$180</f>
        <v>3063</v>
      </c>
      <c r="AL18" s="28">
        <f>'[119]Arc Results'!$I$191</f>
        <v>3067.0000000000005</v>
      </c>
      <c r="AM18" s="28">
        <f>'[119]Arc Results'!$I$81</f>
        <v>2768.7960725075527</v>
      </c>
      <c r="AN18" s="28">
        <f>'[119]Arc Results'!$I$81</f>
        <v>2768.7960725075527</v>
      </c>
      <c r="AP18" s="9">
        <f t="shared" si="10"/>
        <v>1.25</v>
      </c>
      <c r="AQ18" s="9">
        <f t="shared" si="11"/>
        <v>1.1438024093947075</v>
      </c>
      <c r="AR18" s="9">
        <f t="shared" si="12"/>
        <v>1.0439980297402718</v>
      </c>
      <c r="AS18" s="9">
        <f t="shared" si="13"/>
        <v>1.0044396681451797</v>
      </c>
      <c r="AT18" s="9">
        <f t="shared" si="14"/>
        <v>1.0248973096488128</v>
      </c>
      <c r="AU18" s="9">
        <f t="shared" si="15"/>
        <v>1.000652528548124</v>
      </c>
      <c r="AV18" s="9">
        <f t="shared" si="16"/>
        <v>1</v>
      </c>
    </row>
    <row r="19" spans="1:48" ht="15.75">
      <c r="A19">
        <f t="shared" si="17"/>
        <v>15</v>
      </c>
      <c r="B19" s="9">
        <v>2020</v>
      </c>
      <c r="C19" s="9" t="s">
        <v>4</v>
      </c>
      <c r="D19" s="9" t="s">
        <v>88</v>
      </c>
      <c r="E19" s="7" t="s">
        <v>6</v>
      </c>
      <c r="F19" s="20" t="s">
        <v>76</v>
      </c>
      <c r="G19" s="7" t="s">
        <v>8</v>
      </c>
      <c r="H19" s="7" t="s">
        <v>9</v>
      </c>
      <c r="I19" s="9" t="s">
        <v>45</v>
      </c>
      <c r="J19" s="9">
        <v>500</v>
      </c>
      <c r="K19" s="9">
        <v>0.8</v>
      </c>
      <c r="L19" s="28">
        <f>'[120]Arc Results'!$I$10960+'[120]Arc Results'!$I$10971+'[120]Arc Results'!$I$10982+'[120]Arc Results'!$I$10993+'[120]Arc Results'!$I$11004+'[120]Arc Results'!$I$11015+'[120]Arc Results'!$I$11026+'[120]Arc Results'!$I$11037+'[120]Arc Results'!$I$11048+'[120]Arc Results'!$I$11059+'[120]Arc Results'!$I$11070+'[120]Arc Results'!$I$11081+'[120]Arc Results'!$I$11092+'[120]Arc Results'!$I$11103+'[120]Arc Results'!$I$11114+'[120]Arc Results'!$I$11125+'[120]Arc Results'!$I$11136+'[120]Arc Results'!$I$11147+'[120]Arc Results'!$I$11158+'[120]Arc Results'!$I$11169+'[120]Arc Results'!$I$11180+'[120]Arc Results'!$I$11191+'[120]Arc Results'!$I$11202+'[120]Arc Results'!$I$11213+'[120]Arc Results'!$I$11224+'[120]Arc Results'!$I$11235+'[120]Arc Results'!$I$11246+'[120]Arc Results'!$I$11257+'[120]Arc Results'!$I$11268</f>
        <v>3072.4157066465309</v>
      </c>
      <c r="M19" s="28">
        <f>'[120]Arc Results'!$I$257</f>
        <v>14299.710171428567</v>
      </c>
      <c r="N19" s="28">
        <f t="shared" si="1"/>
        <v>6123.9999999999955</v>
      </c>
      <c r="O19" s="28">
        <f t="shared" si="2"/>
        <v>8722.7993287009085</v>
      </c>
      <c r="P19" s="28">
        <f t="shared" si="3"/>
        <v>5310.1941087613295</v>
      </c>
      <c r="Q19" s="28">
        <f t="shared" si="4"/>
        <v>1219.1404833836857</v>
      </c>
      <c r="R19" s="28">
        <f t="shared" si="5"/>
        <v>438.90181268882174</v>
      </c>
      <c r="S19" s="28">
        <f t="shared" si="6"/>
        <v>253.1419939577039</v>
      </c>
      <c r="T19" s="28">
        <f t="shared" si="7"/>
        <v>6130</v>
      </c>
      <c r="U19" s="28" t="str">
        <f>[120]Log!$K$2</f>
        <v>323.068.495,34</v>
      </c>
      <c r="V19" s="28" t="str">
        <f>[120]Log!$J$2</f>
        <v>89.447.971,23</v>
      </c>
      <c r="W19" s="28" t="str">
        <f>[120]Log!$N$2</f>
        <v>35.475.755,55</v>
      </c>
      <c r="X19" s="32">
        <f t="shared" si="8"/>
        <v>0</v>
      </c>
      <c r="Y19" s="28"/>
      <c r="Z19" s="33">
        <f t="shared" si="9"/>
        <v>42497.887898921006</v>
      </c>
      <c r="AA19" s="28">
        <f>'[120]Arc Results'!$I$15</f>
        <v>90.407854984894257</v>
      </c>
      <c r="AB19" s="28">
        <f>'[120]Arc Results'!$I$26</f>
        <v>162.73413897280966</v>
      </c>
      <c r="AC19" s="28">
        <f>'[120]Arc Results'!$I$48</f>
        <v>515.1216012084592</v>
      </c>
      <c r="AD19" s="28">
        <f>'[120]Arc Results'!$I$59</f>
        <v>704.01888217522651</v>
      </c>
      <c r="AE19" s="28">
        <f>'[120]Arc Results'!$I$114</f>
        <v>206.96978851963746</v>
      </c>
      <c r="AF19" s="28">
        <f>'[120]Arc Results'!$I$125</f>
        <v>231.93202416918427</v>
      </c>
      <c r="AG19" s="28">
        <f>'[120]Arc Results'!$I$147</f>
        <v>2876.5285120845924</v>
      </c>
      <c r="AH19" s="28">
        <f>'[120]Arc Results'!$I$158</f>
        <v>3247.471487915403</v>
      </c>
      <c r="AI19" s="28">
        <f>'[120]Arc Results'!$I$213</f>
        <v>4225.0802954682813</v>
      </c>
      <c r="AJ19" s="28">
        <f>'[120]Arc Results'!$I$224</f>
        <v>4497.7190332326281</v>
      </c>
      <c r="AK19" s="28">
        <f>'[120]Arc Results'!$I$180</f>
        <v>3063</v>
      </c>
      <c r="AL19" s="28">
        <f>'[120]Arc Results'!$I$191</f>
        <v>3067</v>
      </c>
      <c r="AM19" s="28">
        <f>'[120]Arc Results'!$I$81</f>
        <v>2655.0970543806648</v>
      </c>
      <c r="AN19" s="28">
        <f>'[120]Arc Results'!$I$81</f>
        <v>2655.0970543806648</v>
      </c>
      <c r="AP19" s="9">
        <f t="shared" si="10"/>
        <v>1.2857142857142858</v>
      </c>
      <c r="AQ19" s="9">
        <f t="shared" si="11"/>
        <v>1.1549429975801384</v>
      </c>
      <c r="AR19" s="9">
        <f t="shared" si="12"/>
        <v>1.056874305204214</v>
      </c>
      <c r="AS19" s="9">
        <f t="shared" si="13"/>
        <v>1.0605720078103871</v>
      </c>
      <c r="AT19" s="9">
        <f t="shared" si="14"/>
        <v>1.0312558764096837</v>
      </c>
      <c r="AU19" s="9">
        <f t="shared" si="15"/>
        <v>1.000652528548124</v>
      </c>
      <c r="AV19" s="9">
        <f t="shared" si="16"/>
        <v>1</v>
      </c>
    </row>
    <row r="20" spans="1:48" ht="15.75">
      <c r="A20">
        <f t="shared" si="17"/>
        <v>16</v>
      </c>
      <c r="B20" s="9">
        <v>2020</v>
      </c>
      <c r="C20" s="9" t="s">
        <v>4</v>
      </c>
      <c r="D20" s="9" t="s">
        <v>88</v>
      </c>
      <c r="E20" s="7" t="s">
        <v>6</v>
      </c>
      <c r="F20" s="20" t="s">
        <v>77</v>
      </c>
      <c r="G20" s="7" t="s">
        <v>8</v>
      </c>
      <c r="H20" s="7" t="s">
        <v>9</v>
      </c>
      <c r="I20" s="9" t="s">
        <v>45</v>
      </c>
      <c r="J20" s="9">
        <v>500</v>
      </c>
      <c r="K20" s="9">
        <v>0.8</v>
      </c>
      <c r="L20" s="28">
        <f>'[121]Arc Results'!$I$10960+'[121]Arc Results'!$I$10971+'[121]Arc Results'!$I$10982+'[121]Arc Results'!$I$10993+'[121]Arc Results'!$I$11004+'[121]Arc Results'!$I$11015+'[121]Arc Results'!$I$11026+'[121]Arc Results'!$I$11037+'[121]Arc Results'!$I$11048+'[121]Arc Results'!$I$11059+'[121]Arc Results'!$I$11070+'[121]Arc Results'!$I$11081+'[121]Arc Results'!$I$11092+'[121]Arc Results'!$I$11103+'[121]Arc Results'!$I$11114+'[121]Arc Results'!$I$11125+'[121]Arc Results'!$I$11136+'[121]Arc Results'!$I$11147+'[121]Arc Results'!$I$11158+'[121]Arc Results'!$I$11169+'[121]Arc Results'!$I$11180+'[121]Arc Results'!$I$11191+'[121]Arc Results'!$I$11202+'[121]Arc Results'!$I$11213+'[121]Arc Results'!$I$11224+'[121]Arc Results'!$I$11235+'[121]Arc Results'!$I$11246+'[121]Arc Results'!$I$11257+'[121]Arc Results'!$I$11268</f>
        <v>3203.3805395770405</v>
      </c>
      <c r="M20" s="28">
        <f>'[121]Arc Results'!$I$257</f>
        <v>14299.710171428569</v>
      </c>
      <c r="N20" s="28">
        <f t="shared" si="1"/>
        <v>5490</v>
      </c>
      <c r="O20" s="28">
        <f t="shared" si="2"/>
        <v>11476.973799999987</v>
      </c>
      <c r="P20" s="28">
        <f t="shared" si="3"/>
        <v>4628</v>
      </c>
      <c r="Q20" s="28">
        <f t="shared" si="4"/>
        <v>558.00000000000011</v>
      </c>
      <c r="R20" s="28">
        <f t="shared" si="5"/>
        <v>374</v>
      </c>
      <c r="S20" s="28">
        <f t="shared" si="6"/>
        <v>0</v>
      </c>
      <c r="T20" s="28">
        <f t="shared" si="7"/>
        <v>6126</v>
      </c>
      <c r="U20" s="28" t="str">
        <f>[121]Log!$K$2</f>
        <v>309.952.573,50</v>
      </c>
      <c r="V20" s="28" t="str">
        <f>[121]Log!$J$2</f>
        <v>89.447.971,23</v>
      </c>
      <c r="W20" s="28" t="str">
        <f>[121]Log!$N$2</f>
        <v>35.475.755,55</v>
      </c>
      <c r="X20" s="32">
        <f t="shared" si="8"/>
        <v>0</v>
      </c>
      <c r="Y20" s="28"/>
      <c r="Z20" s="33">
        <f t="shared" si="9"/>
        <v>42952.683971428552</v>
      </c>
      <c r="AA20" s="28">
        <f>'[121]Arc Results'!$I$15</f>
        <v>0</v>
      </c>
      <c r="AB20" s="28">
        <f>'[121]Arc Results'!$I$26</f>
        <v>0</v>
      </c>
      <c r="AC20" s="28">
        <f>'[121]Arc Results'!$I$48</f>
        <v>279</v>
      </c>
      <c r="AD20" s="28">
        <f>'[121]Arc Results'!$I$59</f>
        <v>279.00000000000011</v>
      </c>
      <c r="AE20" s="28">
        <f>'[121]Arc Results'!$I$114</f>
        <v>187</v>
      </c>
      <c r="AF20" s="28">
        <f>'[121]Arc Results'!$I$125</f>
        <v>187</v>
      </c>
      <c r="AG20" s="28">
        <f>'[121]Arc Results'!$I$147</f>
        <v>2745</v>
      </c>
      <c r="AH20" s="28">
        <f>'[121]Arc Results'!$I$158</f>
        <v>2745</v>
      </c>
      <c r="AI20" s="28">
        <f>'[121]Arc Results'!$I$213</f>
        <v>5175.1699395770393</v>
      </c>
      <c r="AJ20" s="28">
        <f>'[121]Arc Results'!$I$224</f>
        <v>6301.8038604229478</v>
      </c>
      <c r="AK20" s="28">
        <f>'[121]Arc Results'!$I$180</f>
        <v>3063</v>
      </c>
      <c r="AL20" s="28">
        <f>'[121]Arc Results'!$I$191</f>
        <v>3063.0000000000005</v>
      </c>
      <c r="AM20" s="28">
        <f>'[121]Arc Results'!$I$81</f>
        <v>2314</v>
      </c>
      <c r="AN20" s="28">
        <f>'[121]Arc Results'!$I$81</f>
        <v>2314</v>
      </c>
      <c r="AP20" s="9" t="e">
        <f t="shared" si="10"/>
        <v>#DIV/0!</v>
      </c>
      <c r="AQ20" s="9">
        <f t="shared" si="11"/>
        <v>1.0000000000000002</v>
      </c>
      <c r="AR20" s="9">
        <f t="shared" si="12"/>
        <v>1</v>
      </c>
      <c r="AS20" s="9">
        <f t="shared" si="13"/>
        <v>1</v>
      </c>
      <c r="AT20" s="9">
        <f t="shared" si="14"/>
        <v>1.0981647201151501</v>
      </c>
      <c r="AU20" s="9">
        <f t="shared" si="15"/>
        <v>1.0000000000000002</v>
      </c>
      <c r="AV20" s="9">
        <f t="shared" si="16"/>
        <v>1</v>
      </c>
    </row>
    <row r="21" spans="1:48" ht="15.75">
      <c r="A21">
        <f t="shared" si="17"/>
        <v>17</v>
      </c>
      <c r="B21" s="9">
        <v>2020</v>
      </c>
      <c r="C21" s="9" t="s">
        <v>4</v>
      </c>
      <c r="D21" s="9" t="s">
        <v>88</v>
      </c>
      <c r="E21" s="7" t="s">
        <v>6</v>
      </c>
      <c r="F21" s="20" t="s">
        <v>78</v>
      </c>
      <c r="G21" s="7" t="s">
        <v>8</v>
      </c>
      <c r="H21" s="7" t="s">
        <v>9</v>
      </c>
      <c r="I21" s="9" t="s">
        <v>45</v>
      </c>
      <c r="J21" s="9">
        <v>500</v>
      </c>
      <c r="K21" s="9">
        <v>0.8</v>
      </c>
      <c r="L21" s="28">
        <f>'[122]Arc Results'!$I$10960+'[122]Arc Results'!$I$10971+'[122]Arc Results'!$I$10982+'[122]Arc Results'!$I$10993+'[122]Arc Results'!$I$11004+'[122]Arc Results'!$I$11015+'[122]Arc Results'!$I$11026+'[122]Arc Results'!$I$11037+'[122]Arc Results'!$I$11048+'[122]Arc Results'!$I$11059+'[122]Arc Results'!$I$11070+'[122]Arc Results'!$I$11081+'[122]Arc Results'!$I$11092+'[122]Arc Results'!$I$11103+'[122]Arc Results'!$I$11114+'[122]Arc Results'!$I$11125+'[122]Arc Results'!$I$11136+'[122]Arc Results'!$I$11147+'[122]Arc Results'!$I$11158+'[122]Arc Results'!$I$11169+'[122]Arc Results'!$I$11180+'[122]Arc Results'!$I$11191+'[122]Arc Results'!$I$11202+'[122]Arc Results'!$I$11213+'[122]Arc Results'!$I$11224+'[122]Arc Results'!$I$11235+'[122]Arc Results'!$I$11246+'[122]Arc Results'!$I$11257+'[122]Arc Results'!$I$11268</f>
        <v>3449.4483265861045</v>
      </c>
      <c r="M21" s="28">
        <f>'[122]Arc Results'!$I$257</f>
        <v>14299.710171428578</v>
      </c>
      <c r="N21" s="28">
        <f t="shared" si="1"/>
        <v>5490</v>
      </c>
      <c r="O21" s="28">
        <f t="shared" si="2"/>
        <v>8000</v>
      </c>
      <c r="P21" s="28">
        <f t="shared" si="3"/>
        <v>7470.4754531722056</v>
      </c>
      <c r="Q21" s="28">
        <f t="shared" si="4"/>
        <v>558.00000000000034</v>
      </c>
      <c r="R21" s="28">
        <f t="shared" si="5"/>
        <v>374</v>
      </c>
      <c r="S21" s="28">
        <f t="shared" si="6"/>
        <v>0</v>
      </c>
      <c r="T21" s="28">
        <f t="shared" si="7"/>
        <v>6126</v>
      </c>
      <c r="U21" s="28" t="str">
        <f>[122]Log!$K$2</f>
        <v>318.116.350,41</v>
      </c>
      <c r="V21" s="28" t="str">
        <f>[122]Log!$J$2</f>
        <v>89.447.971,23</v>
      </c>
      <c r="W21" s="28" t="str">
        <f>[122]Log!$N$2</f>
        <v>35.475.755,55</v>
      </c>
      <c r="X21" s="32">
        <f t="shared" si="8"/>
        <v>0</v>
      </c>
      <c r="Y21" s="28"/>
      <c r="Z21" s="33">
        <f t="shared" si="9"/>
        <v>42318.185624600781</v>
      </c>
      <c r="AA21" s="28">
        <f>'[122]Arc Results'!$I$15</f>
        <v>0</v>
      </c>
      <c r="AB21" s="28">
        <f>'[122]Arc Results'!$I$26</f>
        <v>0</v>
      </c>
      <c r="AC21" s="28">
        <f>'[122]Arc Results'!$I$48</f>
        <v>279</v>
      </c>
      <c r="AD21" s="28">
        <f>'[122]Arc Results'!$I$59</f>
        <v>279.00000000000034</v>
      </c>
      <c r="AE21" s="28">
        <f>'[122]Arc Results'!$I$114</f>
        <v>187</v>
      </c>
      <c r="AF21" s="28">
        <f>'[122]Arc Results'!$I$125</f>
        <v>187</v>
      </c>
      <c r="AG21" s="28">
        <f>'[122]Arc Results'!$I$147</f>
        <v>2745</v>
      </c>
      <c r="AH21" s="28">
        <f>'[122]Arc Results'!$I$158</f>
        <v>2745.0000000000005</v>
      </c>
      <c r="AI21" s="28">
        <f>'[122]Arc Results'!$I$213</f>
        <v>4000</v>
      </c>
      <c r="AJ21" s="28">
        <f>'[122]Arc Results'!$I$224</f>
        <v>4000</v>
      </c>
      <c r="AK21" s="28">
        <f>'[122]Arc Results'!$I$180</f>
        <v>3063</v>
      </c>
      <c r="AL21" s="28">
        <f>'[122]Arc Results'!$I$191</f>
        <v>3063</v>
      </c>
      <c r="AM21" s="28">
        <f>'[122]Arc Results'!$I$81</f>
        <v>3735.2377265861028</v>
      </c>
      <c r="AN21" s="28">
        <f>'[122]Arc Results'!$I$81</f>
        <v>3735.2377265861028</v>
      </c>
      <c r="AP21" s="9" t="e">
        <f t="shared" si="10"/>
        <v>#DIV/0!</v>
      </c>
      <c r="AQ21" s="9">
        <f t="shared" si="11"/>
        <v>1.0000000000000007</v>
      </c>
      <c r="AR21" s="9">
        <f t="shared" si="12"/>
        <v>1</v>
      </c>
      <c r="AS21" s="9">
        <f t="shared" si="13"/>
        <v>1.0000000000000002</v>
      </c>
      <c r="AT21" s="9">
        <f t="shared" si="14"/>
        <v>1</v>
      </c>
      <c r="AU21" s="9">
        <f t="shared" si="15"/>
        <v>1</v>
      </c>
      <c r="AV21" s="9">
        <f t="shared" si="16"/>
        <v>1</v>
      </c>
    </row>
    <row r="22" spans="1:48" ht="15.75">
      <c r="A22">
        <f t="shared" si="17"/>
        <v>18</v>
      </c>
      <c r="B22" s="9">
        <v>2020</v>
      </c>
      <c r="C22" s="9" t="s">
        <v>4</v>
      </c>
      <c r="D22" s="9" t="s">
        <v>88</v>
      </c>
      <c r="E22" s="7" t="s">
        <v>6</v>
      </c>
      <c r="F22" s="20" t="s">
        <v>79</v>
      </c>
      <c r="G22" s="7" t="s">
        <v>8</v>
      </c>
      <c r="H22" s="7" t="s">
        <v>9</v>
      </c>
      <c r="I22" s="9" t="s">
        <v>45</v>
      </c>
      <c r="J22" s="9">
        <v>500</v>
      </c>
      <c r="K22" s="9">
        <v>0.8</v>
      </c>
      <c r="L22" s="28">
        <f>'[123]Arc Results'!$I$10960+'[123]Arc Results'!$I$10971+'[123]Arc Results'!$I$10982+'[123]Arc Results'!$I$10993+'[123]Arc Results'!$I$11004+'[123]Arc Results'!$I$11015+'[123]Arc Results'!$I$11026+'[123]Arc Results'!$I$11037+'[123]Arc Results'!$I$11048+'[123]Arc Results'!$I$11059+'[123]Arc Results'!$I$11070+'[123]Arc Results'!$I$11081+'[123]Arc Results'!$I$11092+'[123]Arc Results'!$I$11103+'[123]Arc Results'!$I$11114+'[123]Arc Results'!$I$11125+'[123]Arc Results'!$I$11136+'[123]Arc Results'!$I$11147+'[123]Arc Results'!$I$11158+'[123]Arc Results'!$I$11169+'[123]Arc Results'!$I$11180+'[123]Arc Results'!$I$11191+'[123]Arc Results'!$I$11202+'[123]Arc Results'!$I$11213+'[123]Arc Results'!$I$11224+'[123]Arc Results'!$I$11235+'[123]Arc Results'!$I$11246+'[123]Arc Results'!$I$11257+'[123]Arc Results'!$I$11268</f>
        <v>3201.8499504531733</v>
      </c>
      <c r="M22" s="28">
        <f>'[123]Arc Results'!$I$257</f>
        <v>14299.710171428571</v>
      </c>
      <c r="N22" s="28">
        <f t="shared" si="1"/>
        <v>5576.6540785498491</v>
      </c>
      <c r="O22" s="28">
        <f t="shared" si="2"/>
        <v>8829.3714586102687</v>
      </c>
      <c r="P22" s="28">
        <f t="shared" si="3"/>
        <v>5310.1941087613295</v>
      </c>
      <c r="Q22" s="28">
        <f t="shared" si="4"/>
        <v>1266.3648036253776</v>
      </c>
      <c r="R22" s="28">
        <f t="shared" si="5"/>
        <v>443.89425981873109</v>
      </c>
      <c r="S22" s="28">
        <f t="shared" si="6"/>
        <v>528</v>
      </c>
      <c r="T22" s="28">
        <f t="shared" si="7"/>
        <v>6130</v>
      </c>
      <c r="U22" s="28" t="str">
        <f>[123]Log!$K$2</f>
        <v>339.102.521,44</v>
      </c>
      <c r="V22" s="28" t="str">
        <f>[123]Log!$J$2</f>
        <v>89.447.971,23</v>
      </c>
      <c r="W22" s="28" t="str">
        <f>[123]Log!$N$2</f>
        <v>35.475.755,55</v>
      </c>
      <c r="X22" s="32">
        <f t="shared" si="8"/>
        <v>0</v>
      </c>
      <c r="Y22" s="28"/>
      <c r="Z22" s="33">
        <f t="shared" si="9"/>
        <v>42384.188880794121</v>
      </c>
      <c r="AA22" s="28">
        <f>'[123]Arc Results'!$I$15</f>
        <v>264</v>
      </c>
      <c r="AB22" s="28">
        <f>'[123]Arc Results'!$I$26</f>
        <v>264</v>
      </c>
      <c r="AC22" s="28">
        <f>'[123]Arc Results'!$I$48</f>
        <v>515.1216012084592</v>
      </c>
      <c r="AD22" s="28">
        <f>'[123]Arc Results'!$I$59</f>
        <v>751.24320241691839</v>
      </c>
      <c r="AE22" s="28">
        <f>'[123]Arc Results'!$I$114</f>
        <v>211.96223564954681</v>
      </c>
      <c r="AF22" s="28">
        <f>'[123]Arc Results'!$I$125</f>
        <v>231.93202416918427</v>
      </c>
      <c r="AG22" s="28">
        <f>'[123]Arc Results'!$I$147</f>
        <v>2775.9478851963745</v>
      </c>
      <c r="AH22" s="28">
        <f>'[123]Arc Results'!$I$158</f>
        <v>2800.7061933534742</v>
      </c>
      <c r="AI22" s="28">
        <f>'[123]Arc Results'!$I$213</f>
        <v>4276.510574018127</v>
      </c>
      <c r="AJ22" s="28">
        <f>'[123]Arc Results'!$I$224</f>
        <v>4552.8608845921426</v>
      </c>
      <c r="AK22" s="28">
        <f>'[123]Arc Results'!$I$180</f>
        <v>3063</v>
      </c>
      <c r="AL22" s="28">
        <f>'[123]Arc Results'!$I$191</f>
        <v>3067.0000000000005</v>
      </c>
      <c r="AM22" s="28">
        <f>'[123]Arc Results'!$I$81</f>
        <v>2655.0970543806648</v>
      </c>
      <c r="AN22" s="28">
        <f>'[123]Arc Results'!$I$81</f>
        <v>2655.0970543806648</v>
      </c>
      <c r="AP22" s="9">
        <f t="shared" si="10"/>
        <v>1</v>
      </c>
      <c r="AQ22" s="9">
        <f t="shared" si="11"/>
        <v>1.1864562253566153</v>
      </c>
      <c r="AR22" s="9">
        <f t="shared" si="12"/>
        <v>1.0449877151549387</v>
      </c>
      <c r="AS22" s="9">
        <f t="shared" si="13"/>
        <v>1.0044396349151958</v>
      </c>
      <c r="AT22" s="9">
        <f t="shared" si="14"/>
        <v>1.0312989788536446</v>
      </c>
      <c r="AU22" s="9">
        <f t="shared" si="15"/>
        <v>1.000652528548124</v>
      </c>
      <c r="AV22" s="9">
        <f t="shared" si="16"/>
        <v>1</v>
      </c>
    </row>
    <row r="23" spans="1:48" ht="15.75">
      <c r="A23">
        <f t="shared" si="17"/>
        <v>19</v>
      </c>
      <c r="B23" s="9">
        <v>2020</v>
      </c>
      <c r="C23" s="9" t="s">
        <v>4</v>
      </c>
      <c r="D23" s="9" t="s">
        <v>88</v>
      </c>
      <c r="E23" s="7" t="s">
        <v>6</v>
      </c>
      <c r="F23" s="20" t="s">
        <v>80</v>
      </c>
      <c r="G23" s="7" t="s">
        <v>8</v>
      </c>
      <c r="H23" s="7" t="s">
        <v>9</v>
      </c>
      <c r="I23" s="9" t="s">
        <v>45</v>
      </c>
      <c r="J23" s="9">
        <v>500</v>
      </c>
      <c r="K23" s="9">
        <v>0.8</v>
      </c>
      <c r="L23" s="28">
        <f>'[124]Arc Results'!$I$10960+'[124]Arc Results'!$I$10971+'[124]Arc Results'!$I$10982+'[124]Arc Results'!$I$10993+'[124]Arc Results'!$I$11004+'[124]Arc Results'!$I$11015+'[124]Arc Results'!$I$11026+'[124]Arc Results'!$I$11037+'[124]Arc Results'!$I$11048+'[124]Arc Results'!$I$11059+'[124]Arc Results'!$I$11070+'[124]Arc Results'!$I$11081+'[124]Arc Results'!$I$11092+'[124]Arc Results'!$I$11103+'[124]Arc Results'!$I$11114+'[124]Arc Results'!$I$11125+'[124]Arc Results'!$I$11136+'[124]Arc Results'!$I$11147+'[124]Arc Results'!$I$11158+'[124]Arc Results'!$I$11169+'[124]Arc Results'!$I$11180+'[124]Arc Results'!$I$11191+'[124]Arc Results'!$I$11202+'[124]Arc Results'!$I$11213+'[124]Arc Results'!$I$11224+'[124]Arc Results'!$I$11235+'[124]Arc Results'!$I$11246+'[124]Arc Results'!$I$11257+'[124]Arc Results'!$I$11268</f>
        <v>3309.3087957703915</v>
      </c>
      <c r="M23" s="28">
        <f>'[124]Arc Results'!$I$257</f>
        <v>14299.710171428575</v>
      </c>
      <c r="N23" s="28">
        <f t="shared" si="1"/>
        <v>5520.947885196374</v>
      </c>
      <c r="O23" s="28">
        <f t="shared" si="2"/>
        <v>8304.4847516616337</v>
      </c>
      <c r="P23" s="28">
        <f t="shared" si="3"/>
        <v>4628</v>
      </c>
      <c r="Q23" s="28">
        <f t="shared" si="4"/>
        <v>3219.999999999995</v>
      </c>
      <c r="R23" s="28">
        <f t="shared" si="5"/>
        <v>403.95468277945616</v>
      </c>
      <c r="S23" s="28">
        <f t="shared" si="6"/>
        <v>108.48942598187311</v>
      </c>
      <c r="T23" s="28">
        <f t="shared" si="7"/>
        <v>6126</v>
      </c>
      <c r="U23" s="28" t="str">
        <f>[124]Log!$K$2</f>
        <v>333.061.767,19</v>
      </c>
      <c r="V23" s="28" t="str">
        <f>[124]Log!$J$2</f>
        <v>89.447.971,23</v>
      </c>
      <c r="W23" s="28" t="str">
        <f>[124]Log!$N$2</f>
        <v>35.475.755,55</v>
      </c>
      <c r="X23" s="32">
        <f t="shared" si="8"/>
        <v>0</v>
      </c>
      <c r="Y23" s="28"/>
      <c r="Z23" s="33">
        <f t="shared" si="9"/>
        <v>42611.586917047905</v>
      </c>
      <c r="AA23" s="28">
        <f>'[124]Arc Results'!$I$15</f>
        <v>18.081570996978851</v>
      </c>
      <c r="AB23" s="28">
        <f>'[124]Arc Results'!$I$26</f>
        <v>90.407854984894257</v>
      </c>
      <c r="AC23" s="28">
        <f>'[124]Arc Results'!$I$48</f>
        <v>1509.049999999995</v>
      </c>
      <c r="AD23" s="28">
        <f>'[124]Arc Results'!$I$59</f>
        <v>1710.95</v>
      </c>
      <c r="AE23" s="28">
        <f>'[124]Arc Results'!$I$114</f>
        <v>191.99244712990935</v>
      </c>
      <c r="AF23" s="28">
        <f>'[124]Arc Results'!$I$125</f>
        <v>211.96223564954681</v>
      </c>
      <c r="AG23" s="28">
        <f>'[124]Arc Results'!$I$147</f>
        <v>2745</v>
      </c>
      <c r="AH23" s="28">
        <f>'[124]Arc Results'!$I$158</f>
        <v>2775.9478851963745</v>
      </c>
      <c r="AI23" s="28">
        <f>'[124]Arc Results'!$I$213</f>
        <v>4027.9741776435067</v>
      </c>
      <c r="AJ23" s="28">
        <f>'[124]Arc Results'!$I$224</f>
        <v>4276.510574018127</v>
      </c>
      <c r="AK23" s="28">
        <f>'[124]Arc Results'!$I$180</f>
        <v>3063</v>
      </c>
      <c r="AL23" s="28">
        <f>'[124]Arc Results'!$I$191</f>
        <v>3063</v>
      </c>
      <c r="AM23" s="28">
        <f>'[124]Arc Results'!$I$81</f>
        <v>2314</v>
      </c>
      <c r="AN23" s="28">
        <f>'[124]Arc Results'!$I$81</f>
        <v>2314</v>
      </c>
      <c r="AP23" s="9">
        <f t="shared" si="10"/>
        <v>1.6666666666666665</v>
      </c>
      <c r="AQ23" s="9">
        <f t="shared" si="11"/>
        <v>1.062701863354039</v>
      </c>
      <c r="AR23" s="9">
        <f t="shared" si="12"/>
        <v>1.0494357148733444</v>
      </c>
      <c r="AS23" s="9">
        <f t="shared" si="13"/>
        <v>1.0056055383676701</v>
      </c>
      <c r="AT23" s="9">
        <f t="shared" si="14"/>
        <v>1.0299279731141526</v>
      </c>
      <c r="AU23" s="9">
        <f t="shared" si="15"/>
        <v>1</v>
      </c>
      <c r="AV23" s="9">
        <f t="shared" si="16"/>
        <v>1</v>
      </c>
    </row>
    <row r="24" spans="1:48" ht="15.75">
      <c r="A24">
        <f t="shared" si="17"/>
        <v>20</v>
      </c>
      <c r="B24" s="9">
        <v>2020</v>
      </c>
      <c r="C24" s="9" t="s">
        <v>4</v>
      </c>
      <c r="D24" s="9" t="s">
        <v>88</v>
      </c>
      <c r="E24" s="7" t="s">
        <v>6</v>
      </c>
      <c r="F24" s="20" t="s">
        <v>81</v>
      </c>
      <c r="G24" s="7" t="s">
        <v>8</v>
      </c>
      <c r="H24" s="7" t="s">
        <v>9</v>
      </c>
      <c r="I24" s="9" t="s">
        <v>45</v>
      </c>
      <c r="J24" s="9">
        <v>500</v>
      </c>
      <c r="K24" s="9">
        <v>0.8</v>
      </c>
      <c r="L24" s="28">
        <f>'[125]Arc Results'!$I$10960+'[125]Arc Results'!$I$10971+'[125]Arc Results'!$I$10982+'[125]Arc Results'!$I$10993+'[125]Arc Results'!$I$11004+'[125]Arc Results'!$I$11015+'[125]Arc Results'!$I$11026+'[125]Arc Results'!$I$11037+'[125]Arc Results'!$I$11048+'[125]Arc Results'!$I$11059+'[125]Arc Results'!$I$11070+'[125]Arc Results'!$I$11081+'[125]Arc Results'!$I$11092+'[125]Arc Results'!$I$11103+'[125]Arc Results'!$I$11114+'[125]Arc Results'!$I$11125+'[125]Arc Results'!$I$11136+'[125]Arc Results'!$I$11147+'[125]Arc Results'!$I$11158+'[125]Arc Results'!$I$11169+'[125]Arc Results'!$I$11180+'[125]Arc Results'!$I$11191+'[125]Arc Results'!$I$11202+'[125]Arc Results'!$I$11213+'[125]Arc Results'!$I$11224+'[125]Arc Results'!$I$11235+'[125]Arc Results'!$I$11246+'[125]Arc Results'!$I$11257+'[125]Arc Results'!$I$11268</f>
        <v>3174.3164241691857</v>
      </c>
      <c r="M24" s="28">
        <f>'[125]Arc Results'!$I$257</f>
        <v>14299.710171428565</v>
      </c>
      <c r="N24" s="28">
        <f t="shared" si="1"/>
        <v>5582.843655589124</v>
      </c>
      <c r="O24" s="28">
        <f t="shared" si="2"/>
        <v>8829.5317220543802</v>
      </c>
      <c r="P24" s="28">
        <f t="shared" si="3"/>
        <v>5310.1941087613295</v>
      </c>
      <c r="Q24" s="28">
        <f t="shared" si="4"/>
        <v>1288.6856580060412</v>
      </c>
      <c r="R24" s="28">
        <f t="shared" si="5"/>
        <v>672.00000000000023</v>
      </c>
      <c r="S24" s="28">
        <f t="shared" si="6"/>
        <v>271.22356495468279</v>
      </c>
      <c r="T24" s="28">
        <f t="shared" si="7"/>
        <v>6130</v>
      </c>
      <c r="U24" s="28" t="str">
        <f>[125]Log!$K$2</f>
        <v>338.855.372,62</v>
      </c>
      <c r="V24" s="28" t="str">
        <f>[125]Log!$J$2</f>
        <v>89.447.971,23</v>
      </c>
      <c r="W24" s="28" t="str">
        <f>[125]Log!$N$2</f>
        <v>35.475.755,55</v>
      </c>
      <c r="X24" s="32">
        <f t="shared" si="8"/>
        <v>0</v>
      </c>
      <c r="Y24" s="28"/>
      <c r="Z24" s="33">
        <f t="shared" si="9"/>
        <v>42384.188880794129</v>
      </c>
      <c r="AA24" s="28">
        <f>'[125]Arc Results'!$I$15</f>
        <v>90.407854984894257</v>
      </c>
      <c r="AB24" s="28">
        <f>'[125]Arc Results'!$I$26</f>
        <v>180.81570996978851</v>
      </c>
      <c r="AC24" s="28">
        <f>'[125]Arc Results'!$I$48</f>
        <v>537.4424555891228</v>
      </c>
      <c r="AD24" s="28">
        <f>'[125]Arc Results'!$I$59</f>
        <v>751.24320241691839</v>
      </c>
      <c r="AE24" s="28">
        <f>'[125]Arc Results'!$I$114</f>
        <v>335.70000000000016</v>
      </c>
      <c r="AF24" s="28">
        <f>'[125]Arc Results'!$I$125</f>
        <v>336.3</v>
      </c>
      <c r="AG24" s="28">
        <f>'[125]Arc Results'!$I$147</f>
        <v>2775.9478851963745</v>
      </c>
      <c r="AH24" s="28">
        <f>'[125]Arc Results'!$I$158</f>
        <v>2806.8957703927495</v>
      </c>
      <c r="AI24" s="28">
        <f>'[125]Arc Results'!$I$213</f>
        <v>4276.510574018127</v>
      </c>
      <c r="AJ24" s="28">
        <f>'[125]Arc Results'!$I$224</f>
        <v>4553.0211480362541</v>
      </c>
      <c r="AK24" s="28">
        <f>'[125]Arc Results'!$I$180</f>
        <v>3063</v>
      </c>
      <c r="AL24" s="28">
        <f>'[125]Arc Results'!$I$191</f>
        <v>3067</v>
      </c>
      <c r="AM24" s="28">
        <f>'[125]Arc Results'!$I$81</f>
        <v>2655.0970543806648</v>
      </c>
      <c r="AN24" s="28">
        <f>'[125]Arc Results'!$I$81</f>
        <v>2655.0970543806648</v>
      </c>
      <c r="AP24" s="9">
        <f t="shared" si="10"/>
        <v>1.3333333333333333</v>
      </c>
      <c r="AQ24" s="9">
        <f t="shared" si="11"/>
        <v>1.1659060497023033</v>
      </c>
      <c r="AR24" s="9">
        <f t="shared" si="12"/>
        <v>1.0008928571428568</v>
      </c>
      <c r="AS24" s="9">
        <f t="shared" si="13"/>
        <v>1.0055433909859526</v>
      </c>
      <c r="AT24" s="9">
        <f t="shared" si="14"/>
        <v>1.0313165615938</v>
      </c>
      <c r="AU24" s="9">
        <f t="shared" si="15"/>
        <v>1.000652528548124</v>
      </c>
      <c r="AV24" s="9">
        <f t="shared" si="16"/>
        <v>1</v>
      </c>
    </row>
    <row r="25" spans="1:48" ht="15.75">
      <c r="A25">
        <f t="shared" si="17"/>
        <v>21</v>
      </c>
      <c r="B25" s="9">
        <v>2020</v>
      </c>
      <c r="C25" s="9" t="s">
        <v>4</v>
      </c>
      <c r="D25" s="9" t="s">
        <v>88</v>
      </c>
      <c r="E25" s="7" t="s">
        <v>6</v>
      </c>
      <c r="F25" s="20" t="s">
        <v>82</v>
      </c>
      <c r="G25" s="7" t="s">
        <v>8</v>
      </c>
      <c r="H25" s="7" t="s">
        <v>9</v>
      </c>
      <c r="I25" s="9" t="s">
        <v>45</v>
      </c>
      <c r="J25" s="9">
        <v>500</v>
      </c>
      <c r="K25" s="9">
        <v>0.8</v>
      </c>
      <c r="L25" s="28">
        <f>'[126]Arc Results'!$I$10960+'[126]Arc Results'!$I$10971+'[126]Arc Results'!$I$10982+'[126]Arc Results'!$I$10993+'[126]Arc Results'!$I$11004+'[126]Arc Results'!$I$11015+'[126]Arc Results'!$I$11026+'[126]Arc Results'!$I$11037+'[126]Arc Results'!$I$11048+'[126]Arc Results'!$I$11059+'[126]Arc Results'!$I$11070+'[126]Arc Results'!$I$11081+'[126]Arc Results'!$I$11092+'[126]Arc Results'!$I$11103+'[126]Arc Results'!$I$11114+'[126]Arc Results'!$I$11125+'[126]Arc Results'!$I$11136+'[126]Arc Results'!$I$11147+'[126]Arc Results'!$I$11158+'[126]Arc Results'!$I$11169+'[126]Arc Results'!$I$11180+'[126]Arc Results'!$I$11191+'[126]Arc Results'!$I$11202+'[126]Arc Results'!$I$11213+'[126]Arc Results'!$I$11224+'[126]Arc Results'!$I$11235+'[126]Arc Results'!$I$11246+'[126]Arc Results'!$I$11257+'[126]Arc Results'!$I$11268</f>
        <v>3236.609391540786</v>
      </c>
      <c r="M25" s="28">
        <f>'[126]Arc Results'!$I$257</f>
        <v>14299.710171428564</v>
      </c>
      <c r="N25" s="28">
        <f t="shared" si="1"/>
        <v>5490</v>
      </c>
      <c r="O25" s="28">
        <f t="shared" si="2"/>
        <v>8884.8338368580062</v>
      </c>
      <c r="P25" s="28">
        <f t="shared" si="3"/>
        <v>5537.5921450151054</v>
      </c>
      <c r="Q25" s="28">
        <f t="shared" si="4"/>
        <v>1360.8134441087614</v>
      </c>
      <c r="R25" s="28">
        <f t="shared" si="5"/>
        <v>453.87915407854985</v>
      </c>
      <c r="S25" s="28">
        <f t="shared" si="6"/>
        <v>289.30513595166161</v>
      </c>
      <c r="T25" s="28">
        <f t="shared" si="7"/>
        <v>6130</v>
      </c>
      <c r="U25" s="28" t="str">
        <f>[126]Log!$K$2</f>
        <v>357.044.878,44</v>
      </c>
      <c r="V25" s="28" t="str">
        <f>[126]Log!$J$2</f>
        <v>89.447.971,23</v>
      </c>
      <c r="W25" s="28" t="str">
        <f>[126]Log!$N$2</f>
        <v>35.475.755,55</v>
      </c>
      <c r="X25" s="32">
        <f t="shared" si="8"/>
        <v>0</v>
      </c>
      <c r="Y25" s="28"/>
      <c r="Z25" s="33">
        <f t="shared" si="9"/>
        <v>42446.13388744065</v>
      </c>
      <c r="AA25" s="28">
        <f>'[126]Arc Results'!$I$15</f>
        <v>108.48942598187311</v>
      </c>
      <c r="AB25" s="28">
        <f>'[126]Arc Results'!$I$26</f>
        <v>180.81570996978851</v>
      </c>
      <c r="AC25" s="28">
        <f>'[126]Arc Results'!$I$48</f>
        <v>562.34592145015108</v>
      </c>
      <c r="AD25" s="28">
        <f>'[126]Arc Results'!$I$59</f>
        <v>798.46752265861028</v>
      </c>
      <c r="AE25" s="28">
        <f>'[126]Arc Results'!$I$114</f>
        <v>216.95468277945619</v>
      </c>
      <c r="AF25" s="28">
        <f>'[126]Arc Results'!$I$125</f>
        <v>236.92447129909365</v>
      </c>
      <c r="AG25" s="28">
        <f>'[126]Arc Results'!$I$147</f>
        <v>2745</v>
      </c>
      <c r="AH25" s="28">
        <f>'[126]Arc Results'!$I$158</f>
        <v>2745</v>
      </c>
      <c r="AI25" s="28">
        <f>'[126]Arc Results'!$I$213</f>
        <v>4331.8126888217521</v>
      </c>
      <c r="AJ25" s="28">
        <f>'[126]Arc Results'!$I$224</f>
        <v>4553.0211480362541</v>
      </c>
      <c r="AK25" s="28">
        <f>'[126]Arc Results'!$I$180</f>
        <v>3063</v>
      </c>
      <c r="AL25" s="28">
        <f>'[126]Arc Results'!$I$191</f>
        <v>3067</v>
      </c>
      <c r="AM25" s="28">
        <f>'[126]Arc Results'!$I$81</f>
        <v>2768.7960725075527</v>
      </c>
      <c r="AN25" s="28">
        <f>'[126]Arc Results'!$I$81</f>
        <v>2768.7960725075527</v>
      </c>
      <c r="AP25" s="9">
        <f t="shared" si="10"/>
        <v>1.25</v>
      </c>
      <c r="AQ25" s="9">
        <f t="shared" si="11"/>
        <v>1.1735150414854274</v>
      </c>
      <c r="AR25" s="9">
        <f t="shared" si="12"/>
        <v>1.0439980297402718</v>
      </c>
      <c r="AS25" s="9">
        <f t="shared" si="13"/>
        <v>1</v>
      </c>
      <c r="AT25" s="9">
        <f t="shared" si="14"/>
        <v>1.0248973096488128</v>
      </c>
      <c r="AU25" s="9">
        <f t="shared" si="15"/>
        <v>1.000652528548124</v>
      </c>
      <c r="AV25" s="9">
        <f t="shared" si="16"/>
        <v>1</v>
      </c>
    </row>
    <row r="26" spans="1:48" ht="15.75">
      <c r="A26">
        <f t="shared" si="17"/>
        <v>22</v>
      </c>
      <c r="B26" s="9">
        <v>2020</v>
      </c>
      <c r="C26" s="9" t="s">
        <v>4</v>
      </c>
      <c r="D26" s="9" t="s">
        <v>88</v>
      </c>
      <c r="E26" s="7" t="s">
        <v>6</v>
      </c>
      <c r="F26" s="20" t="s">
        <v>83</v>
      </c>
      <c r="G26" s="7" t="s">
        <v>8</v>
      </c>
      <c r="H26" s="7" t="s">
        <v>9</v>
      </c>
      <c r="I26" s="9" t="s">
        <v>45</v>
      </c>
      <c r="J26" s="9">
        <v>500</v>
      </c>
      <c r="K26" s="9">
        <v>0.8</v>
      </c>
      <c r="L26" s="28">
        <f>'[127]Arc Results'!$I$10960+'[127]Arc Results'!$I$10971+'[127]Arc Results'!$I$10982+'[127]Arc Results'!$I$10993+'[127]Arc Results'!$I$11004+'[127]Arc Results'!$I$11015+'[127]Arc Results'!$I$11026+'[127]Arc Results'!$I$11037+'[127]Arc Results'!$I$11048+'[127]Arc Results'!$I$11059+'[127]Arc Results'!$I$11070+'[127]Arc Results'!$I$11081+'[127]Arc Results'!$I$11092+'[127]Arc Results'!$I$11103+'[127]Arc Results'!$I$11114+'[127]Arc Results'!$I$11125+'[127]Arc Results'!$I$11136+'[127]Arc Results'!$I$11147+'[127]Arc Results'!$I$11158+'[127]Arc Results'!$I$11169+'[127]Arc Results'!$I$11180+'[127]Arc Results'!$I$11191+'[127]Arc Results'!$I$11202+'[127]Arc Results'!$I$11213+'[127]Arc Results'!$I$11224+'[127]Arc Results'!$I$11235+'[127]Arc Results'!$I$11246+'[127]Arc Results'!$I$11257+'[127]Arc Results'!$I$11268</f>
        <v>3322.308032024172</v>
      </c>
      <c r="M26" s="28">
        <f>'[127]Arc Results'!$I$257</f>
        <v>14299.710171428569</v>
      </c>
      <c r="N26" s="28">
        <f t="shared" si="1"/>
        <v>5613.791540785498</v>
      </c>
      <c r="O26" s="28">
        <f t="shared" si="2"/>
        <v>8000</v>
      </c>
      <c r="P26" s="28">
        <f t="shared" si="3"/>
        <v>5992.388217522659</v>
      </c>
      <c r="Q26" s="28">
        <f t="shared" si="4"/>
        <v>1512.818588519634</v>
      </c>
      <c r="R26" s="28">
        <f t="shared" si="5"/>
        <v>473.84894259818731</v>
      </c>
      <c r="S26" s="28">
        <f t="shared" si="6"/>
        <v>361.63141993957703</v>
      </c>
      <c r="T26" s="28">
        <f t="shared" si="7"/>
        <v>6130</v>
      </c>
      <c r="U26" s="28" t="str">
        <f>[127]Log!$K$2</f>
        <v>365.024.443,78</v>
      </c>
      <c r="V26" s="28" t="str">
        <f>[127]Log!$J$2</f>
        <v>89.447.971,23</v>
      </c>
      <c r="W26" s="28" t="str">
        <f>[127]Log!$N$2</f>
        <v>35.475.755,55</v>
      </c>
      <c r="X26" s="32">
        <f t="shared" si="8"/>
        <v>0</v>
      </c>
      <c r="Y26" s="28"/>
      <c r="Z26" s="33">
        <f t="shared" si="9"/>
        <v>42384.188880794129</v>
      </c>
      <c r="AA26" s="28">
        <f>'[127]Arc Results'!$I$15</f>
        <v>144.65256797583081</v>
      </c>
      <c r="AB26" s="28">
        <f>'[127]Arc Results'!$I$26</f>
        <v>216.97885196374622</v>
      </c>
      <c r="AC26" s="28">
        <f>'[127]Arc Results'!$I$48</f>
        <v>656.79456193353474</v>
      </c>
      <c r="AD26" s="28">
        <f>'[127]Arc Results'!$I$59</f>
        <v>856.02402658609935</v>
      </c>
      <c r="AE26" s="28">
        <f>'[127]Arc Results'!$I$114</f>
        <v>226.93957703927492</v>
      </c>
      <c r="AF26" s="28">
        <f>'[127]Arc Results'!$I$125</f>
        <v>246.90936555891238</v>
      </c>
      <c r="AG26" s="28">
        <f>'[127]Arc Results'!$I$147</f>
        <v>2794.5166163141994</v>
      </c>
      <c r="AH26" s="28">
        <f>'[127]Arc Results'!$I$158</f>
        <v>2819.2749244712991</v>
      </c>
      <c r="AI26" s="28">
        <f>'[127]Arc Results'!$I$213</f>
        <v>4000</v>
      </c>
      <c r="AJ26" s="28">
        <f>'[127]Arc Results'!$I$224</f>
        <v>4000.0000000000005</v>
      </c>
      <c r="AK26" s="28">
        <f>'[127]Arc Results'!$I$180</f>
        <v>3063</v>
      </c>
      <c r="AL26" s="28">
        <f>'[127]Arc Results'!$I$191</f>
        <v>3067.0000000000005</v>
      </c>
      <c r="AM26" s="28">
        <f>'[127]Arc Results'!$I$81</f>
        <v>2996.1941087613295</v>
      </c>
      <c r="AN26" s="28">
        <f>'[127]Arc Results'!$I$81</f>
        <v>2996.1941087613295</v>
      </c>
      <c r="AP26" s="9">
        <f t="shared" si="10"/>
        <v>1.2</v>
      </c>
      <c r="AQ26" s="9">
        <f t="shared" si="11"/>
        <v>1.1316942204203879</v>
      </c>
      <c r="AR26" s="9">
        <f t="shared" si="12"/>
        <v>1.0421437861824487</v>
      </c>
      <c r="AS26" s="9">
        <f t="shared" si="13"/>
        <v>1.0044102649657054</v>
      </c>
      <c r="AT26" s="9">
        <f t="shared" si="14"/>
        <v>1.0000000000000002</v>
      </c>
      <c r="AU26" s="9">
        <f t="shared" si="15"/>
        <v>1.000652528548124</v>
      </c>
      <c r="AV26" s="9">
        <f t="shared" si="16"/>
        <v>1</v>
      </c>
    </row>
    <row r="27" spans="1:48" ht="15.75">
      <c r="A27">
        <f t="shared" si="17"/>
        <v>23</v>
      </c>
      <c r="B27" s="9">
        <v>2020</v>
      </c>
      <c r="C27" s="9" t="s">
        <v>4</v>
      </c>
      <c r="D27" s="9" t="s">
        <v>88</v>
      </c>
      <c r="E27" s="7" t="s">
        <v>6</v>
      </c>
      <c r="F27" s="20" t="s">
        <v>84</v>
      </c>
      <c r="G27" s="7" t="s">
        <v>8</v>
      </c>
      <c r="H27" s="7" t="s">
        <v>9</v>
      </c>
      <c r="I27" s="9" t="s">
        <v>45</v>
      </c>
      <c r="J27" s="9">
        <v>500</v>
      </c>
      <c r="K27" s="9">
        <v>0.8</v>
      </c>
      <c r="L27" s="28">
        <f>'[128]Arc Results'!$I$10960+'[128]Arc Results'!$I$10971+'[128]Arc Results'!$I$10982+'[128]Arc Results'!$I$10993+'[128]Arc Results'!$I$11004+'[128]Arc Results'!$I$11015+'[128]Arc Results'!$I$11026+'[128]Arc Results'!$I$11037+'[128]Arc Results'!$I$11048+'[128]Arc Results'!$I$11059+'[128]Arc Results'!$I$11070+'[128]Arc Results'!$I$11081+'[128]Arc Results'!$I$11092+'[128]Arc Results'!$I$11103+'[128]Arc Results'!$I$11114+'[128]Arc Results'!$I$11125+'[128]Arc Results'!$I$11136+'[128]Arc Results'!$I$11147+'[128]Arc Results'!$I$11158+'[128]Arc Results'!$I$11169+'[128]Arc Results'!$I$11180+'[128]Arc Results'!$I$11191+'[128]Arc Results'!$I$11202+'[128]Arc Results'!$I$11213+'[128]Arc Results'!$I$11224+'[128]Arc Results'!$I$11235+'[128]Arc Results'!$I$11246+'[128]Arc Results'!$I$11257+'[128]Arc Results'!$I$11268</f>
        <v>3471.0705117824778</v>
      </c>
      <c r="M27" s="28">
        <f>'[128]Arc Results'!$I$257</f>
        <v>14299.710171428571</v>
      </c>
      <c r="N27" s="28">
        <f t="shared" si="1"/>
        <v>5650.9290030211487</v>
      </c>
      <c r="O27" s="28">
        <f t="shared" si="2"/>
        <v>9431.0245643504513</v>
      </c>
      <c r="P27" s="28">
        <f t="shared" si="3"/>
        <v>4628</v>
      </c>
      <c r="Q27" s="28">
        <f t="shared" si="4"/>
        <v>1785.8323262839879</v>
      </c>
      <c r="R27" s="28">
        <f t="shared" si="5"/>
        <v>503.80362537764347</v>
      </c>
      <c r="S27" s="28">
        <f t="shared" si="6"/>
        <v>462.89728096676737</v>
      </c>
      <c r="T27" s="28">
        <f t="shared" si="7"/>
        <v>6130</v>
      </c>
      <c r="U27" s="28" t="str">
        <f>[128]Log!$K$2</f>
        <v>355.294.099,55</v>
      </c>
      <c r="V27" s="28" t="str">
        <f>[128]Log!$J$2</f>
        <v>89.447.971,23</v>
      </c>
      <c r="W27" s="28" t="str">
        <f>[128]Log!$N$2</f>
        <v>35.475.755,55</v>
      </c>
      <c r="X27" s="32">
        <f t="shared" si="8"/>
        <v>0</v>
      </c>
      <c r="Y27" s="28"/>
      <c r="Z27" s="33">
        <f t="shared" si="9"/>
        <v>42892.196971428573</v>
      </c>
      <c r="AA27" s="28">
        <f>'[128]Arc Results'!$I$15</f>
        <v>198.89728096676737</v>
      </c>
      <c r="AB27" s="28">
        <f>'[128]Arc Results'!$I$26</f>
        <v>264</v>
      </c>
      <c r="AC27" s="28">
        <f>'[128]Arc Results'!$I$48</f>
        <v>798.46752265861028</v>
      </c>
      <c r="AD27" s="28">
        <f>'[128]Arc Results'!$I$59</f>
        <v>987.36480362537759</v>
      </c>
      <c r="AE27" s="28">
        <f>'[128]Arc Results'!$I$114</f>
        <v>241.916918429003</v>
      </c>
      <c r="AF27" s="28">
        <f>'[128]Arc Results'!$I$125</f>
        <v>261.88670694864049</v>
      </c>
      <c r="AG27" s="28">
        <f>'[128]Arc Results'!$I$147</f>
        <v>2813.0853474320243</v>
      </c>
      <c r="AH27" s="28">
        <f>'[128]Arc Results'!$I$158</f>
        <v>2837.843655589124</v>
      </c>
      <c r="AI27" s="28">
        <f>'[128]Arc Results'!$I$213</f>
        <v>4601.4928422960711</v>
      </c>
      <c r="AJ27" s="28">
        <f>'[128]Arc Results'!$I$224</f>
        <v>4829.5317220543802</v>
      </c>
      <c r="AK27" s="28">
        <f>'[128]Arc Results'!$I$180</f>
        <v>3063</v>
      </c>
      <c r="AL27" s="28">
        <f>'[128]Arc Results'!$I$191</f>
        <v>3067</v>
      </c>
      <c r="AM27" s="28">
        <f>'[128]Arc Results'!$I$81</f>
        <v>2314</v>
      </c>
      <c r="AN27" s="28">
        <f>'[128]Arc Results'!$I$81</f>
        <v>2314</v>
      </c>
      <c r="AP27" s="9">
        <f t="shared" si="10"/>
        <v>1.1406418264053413</v>
      </c>
      <c r="AQ27" s="9">
        <f t="shared" si="11"/>
        <v>1.1057754852942048</v>
      </c>
      <c r="AR27" s="9">
        <f t="shared" si="12"/>
        <v>1.039638040525549</v>
      </c>
      <c r="AS27" s="9">
        <f t="shared" si="13"/>
        <v>1.0043812810502242</v>
      </c>
      <c r="AT27" s="9">
        <f t="shared" si="14"/>
        <v>1.0241796507052163</v>
      </c>
      <c r="AU27" s="9">
        <f t="shared" si="15"/>
        <v>1.000652528548124</v>
      </c>
      <c r="AV27" s="9">
        <f t="shared" si="16"/>
        <v>1</v>
      </c>
    </row>
    <row r="28" spans="1:48" ht="15.75">
      <c r="A28">
        <f t="shared" si="17"/>
        <v>24</v>
      </c>
      <c r="B28" s="9">
        <v>2020</v>
      </c>
      <c r="C28" s="9" t="s">
        <v>4</v>
      </c>
      <c r="D28" s="9" t="s">
        <v>88</v>
      </c>
      <c r="E28" s="7" t="s">
        <v>6</v>
      </c>
      <c r="F28" s="20" t="s">
        <v>85</v>
      </c>
      <c r="G28" s="7" t="s">
        <v>8</v>
      </c>
      <c r="H28" s="7" t="s">
        <v>9</v>
      </c>
      <c r="I28" s="9" t="s">
        <v>45</v>
      </c>
      <c r="J28" s="9">
        <v>500</v>
      </c>
      <c r="K28" s="9">
        <v>0.8</v>
      </c>
      <c r="L28" s="28">
        <f>'[129]Arc Results'!$I$10960+'[129]Arc Results'!$I$10971+'[129]Arc Results'!$I$10982+'[129]Arc Results'!$I$10993+'[129]Arc Results'!$I$11004+'[129]Arc Results'!$I$11015+'[129]Arc Results'!$I$11026+'[129]Arc Results'!$I$11037+'[129]Arc Results'!$I$11048+'[129]Arc Results'!$I$11059+'[129]Arc Results'!$I$11070+'[129]Arc Results'!$I$11081+'[129]Arc Results'!$I$11092+'[129]Arc Results'!$I$11103+'[129]Arc Results'!$I$11114+'[129]Arc Results'!$I$11125+'[129]Arc Results'!$I$11136+'[129]Arc Results'!$I$11147+'[129]Arc Results'!$I$11158+'[129]Arc Results'!$I$11169+'[129]Arc Results'!$I$11180+'[129]Arc Results'!$I$11191+'[129]Arc Results'!$I$11202+'[129]Arc Results'!$I$11213+'[129]Arc Results'!$I$11224+'[129]Arc Results'!$I$11235+'[129]Arc Results'!$I$11246+'[129]Arc Results'!$I$11257+'[129]Arc Results'!$I$11268</f>
        <v>3227.1001854984897</v>
      </c>
      <c r="M28" s="28">
        <f>'[129]Arc Results'!$I$257</f>
        <v>14299.710171428576</v>
      </c>
      <c r="N28" s="28">
        <f t="shared" si="1"/>
        <v>5595.2228096676736</v>
      </c>
      <c r="O28" s="28">
        <f t="shared" si="2"/>
        <v>8940.1359516616321</v>
      </c>
      <c r="P28" s="28">
        <f t="shared" si="3"/>
        <v>5566.829019939576</v>
      </c>
      <c r="Q28" s="28">
        <f t="shared" si="4"/>
        <v>1408.037764350453</v>
      </c>
      <c r="R28" s="28">
        <f t="shared" si="5"/>
        <v>458.8716012084592</v>
      </c>
      <c r="S28" s="28">
        <f t="shared" si="6"/>
        <v>0</v>
      </c>
      <c r="T28" s="28">
        <f t="shared" si="7"/>
        <v>6130</v>
      </c>
      <c r="U28" s="28" t="str">
        <f>[129]Log!$K$2</f>
        <v>340.807.897,37</v>
      </c>
      <c r="V28" s="28" t="str">
        <f>[129]Log!$J$2</f>
        <v>89.447.971,23</v>
      </c>
      <c r="W28" s="28" t="str">
        <f>[129]Log!$N$2</f>
        <v>35.475.755,55</v>
      </c>
      <c r="X28" s="32">
        <f t="shared" si="8"/>
        <v>0</v>
      </c>
      <c r="Y28" s="28"/>
      <c r="Z28" s="33">
        <f t="shared" si="9"/>
        <v>42398.807318256375</v>
      </c>
      <c r="AA28" s="28">
        <f>'[129]Arc Results'!$I$15</f>
        <v>0</v>
      </c>
      <c r="AB28" s="28">
        <f>'[129]Arc Results'!$I$26</f>
        <v>0</v>
      </c>
      <c r="AC28" s="28">
        <f>'[129]Arc Results'!$I$48</f>
        <v>609.57024169184285</v>
      </c>
      <c r="AD28" s="28">
        <f>'[129]Arc Results'!$I$59</f>
        <v>798.46752265861028</v>
      </c>
      <c r="AE28" s="28">
        <f>'[129]Arc Results'!$I$114</f>
        <v>216.95468277945619</v>
      </c>
      <c r="AF28" s="28">
        <f>'[129]Arc Results'!$I$125</f>
        <v>241.916918429003</v>
      </c>
      <c r="AG28" s="28">
        <f>'[129]Arc Results'!$I$147</f>
        <v>2782.1374622356498</v>
      </c>
      <c r="AH28" s="28">
        <f>'[129]Arc Results'!$I$158</f>
        <v>2813.0853474320243</v>
      </c>
      <c r="AI28" s="28">
        <f>'[129]Arc Results'!$I$213</f>
        <v>4331.8126888217521</v>
      </c>
      <c r="AJ28" s="28">
        <f>'[129]Arc Results'!$I$224</f>
        <v>4608.3232628398791</v>
      </c>
      <c r="AK28" s="28">
        <f>'[129]Arc Results'!$I$180</f>
        <v>3063</v>
      </c>
      <c r="AL28" s="28">
        <f>'[129]Arc Results'!$I$191</f>
        <v>3067</v>
      </c>
      <c r="AM28" s="28">
        <f>'[129]Arc Results'!$I$81</f>
        <v>2783.414509969788</v>
      </c>
      <c r="AN28" s="28">
        <f>'[129]Arc Results'!$I$81</f>
        <v>2783.414509969788</v>
      </c>
      <c r="AP28" s="9" t="e">
        <f t="shared" si="10"/>
        <v>#DIV/0!</v>
      </c>
      <c r="AQ28" s="9">
        <f t="shared" si="11"/>
        <v>1.134156402441314</v>
      </c>
      <c r="AR28" s="9">
        <f t="shared" si="12"/>
        <v>1.0543991730667308</v>
      </c>
      <c r="AS28" s="9">
        <f t="shared" si="13"/>
        <v>1.0055311265072235</v>
      </c>
      <c r="AT28" s="9">
        <f t="shared" si="14"/>
        <v>1.0309291240662546</v>
      </c>
      <c r="AU28" s="9">
        <f t="shared" si="15"/>
        <v>1.000652528548124</v>
      </c>
      <c r="AV28" s="9">
        <f t="shared" si="16"/>
        <v>1</v>
      </c>
    </row>
    <row r="29" spans="1:48" ht="15.75">
      <c r="A29">
        <f t="shared" si="17"/>
        <v>25</v>
      </c>
      <c r="B29" s="9">
        <v>2020</v>
      </c>
      <c r="C29" s="9" t="s">
        <v>4</v>
      </c>
      <c r="D29" s="9" t="s">
        <v>88</v>
      </c>
      <c r="E29" s="7" t="s">
        <v>6</v>
      </c>
      <c r="F29" s="20" t="s">
        <v>86</v>
      </c>
      <c r="G29" s="7" t="s">
        <v>8</v>
      </c>
      <c r="H29" s="7" t="s">
        <v>9</v>
      </c>
      <c r="I29" s="9" t="s">
        <v>45</v>
      </c>
      <c r="J29" s="9">
        <v>500</v>
      </c>
      <c r="K29" s="9">
        <v>0.8</v>
      </c>
      <c r="L29" s="28">
        <f>'[130]Arc Results'!$I$10960+'[130]Arc Results'!$I$10971+'[130]Arc Results'!$I$10982+'[130]Arc Results'!$I$10993+'[130]Arc Results'!$I$11004+'[130]Arc Results'!$I$11015+'[130]Arc Results'!$I$11026+'[130]Arc Results'!$I$11037+'[130]Arc Results'!$I$11048+'[130]Arc Results'!$I$11059+'[130]Arc Results'!$I$11070+'[130]Arc Results'!$I$11081+'[130]Arc Results'!$I$11092+'[130]Arc Results'!$I$11103+'[130]Arc Results'!$I$11114+'[130]Arc Results'!$I$11125+'[130]Arc Results'!$I$11136+'[130]Arc Results'!$I$11147+'[130]Arc Results'!$I$11158+'[130]Arc Results'!$I$11169+'[130]Arc Results'!$I$11180+'[130]Arc Results'!$I$11191+'[130]Arc Results'!$I$11202+'[130]Arc Results'!$I$11213+'[130]Arc Results'!$I$11224+'[130]Arc Results'!$I$11235+'[130]Arc Results'!$I$11246+'[130]Arc Results'!$I$11257+'[130]Arc Results'!$I$11268</f>
        <v>3349.4056990936547</v>
      </c>
      <c r="M29" s="28">
        <f>'[130]Arc Results'!$I$257</f>
        <v>14299.71017142858</v>
      </c>
      <c r="N29" s="28">
        <f t="shared" si="1"/>
        <v>5607.6019637462232</v>
      </c>
      <c r="O29" s="28">
        <f t="shared" si="2"/>
        <v>9074.7071836857976</v>
      </c>
      <c r="P29" s="28">
        <f t="shared" si="3"/>
        <v>5992.388217522659</v>
      </c>
      <c r="Q29" s="28">
        <f t="shared" si="4"/>
        <v>558</v>
      </c>
      <c r="R29" s="28">
        <f t="shared" si="5"/>
        <v>473.84894259818731</v>
      </c>
      <c r="S29" s="28">
        <f t="shared" si="6"/>
        <v>361.63141993957703</v>
      </c>
      <c r="T29" s="28">
        <f t="shared" si="7"/>
        <v>6130</v>
      </c>
      <c r="U29" s="28" t="str">
        <f>[130]Log!$K$2</f>
        <v>342.730.760,08</v>
      </c>
      <c r="V29" s="28" t="str">
        <f>[130]Log!$J$2</f>
        <v>89.447.971,23</v>
      </c>
      <c r="W29" s="28" t="str">
        <f>[130]Log!$N$2</f>
        <v>35.475.755,55</v>
      </c>
      <c r="X29" s="32">
        <f t="shared" si="8"/>
        <v>0</v>
      </c>
      <c r="Y29" s="28"/>
      <c r="Z29" s="33">
        <f t="shared" si="9"/>
        <v>42497.887898921028</v>
      </c>
      <c r="AA29" s="28">
        <f>'[130]Arc Results'!$I$15</f>
        <v>144.65256797583081</v>
      </c>
      <c r="AB29" s="28">
        <f>'[130]Arc Results'!$I$26</f>
        <v>216.97885196374622</v>
      </c>
      <c r="AC29" s="28">
        <f>'[130]Arc Results'!$I$48</f>
        <v>279</v>
      </c>
      <c r="AD29" s="28">
        <f>'[130]Arc Results'!$I$59</f>
        <v>279</v>
      </c>
      <c r="AE29" s="28">
        <f>'[130]Arc Results'!$I$114</f>
        <v>226.93957703927492</v>
      </c>
      <c r="AF29" s="28">
        <f>'[130]Arc Results'!$I$125</f>
        <v>246.90936555891238</v>
      </c>
      <c r="AG29" s="28">
        <f>'[130]Arc Results'!$I$147</f>
        <v>2788.3270392749246</v>
      </c>
      <c r="AH29" s="28">
        <f>'[130]Arc Results'!$I$158</f>
        <v>2819.2749244712991</v>
      </c>
      <c r="AI29" s="28">
        <f>'[130]Arc Results'!$I$213</f>
        <v>4411.0818060422935</v>
      </c>
      <c r="AJ29" s="28">
        <f>'[130]Arc Results'!$I$224</f>
        <v>4663.6253776435042</v>
      </c>
      <c r="AK29" s="28">
        <f>'[130]Arc Results'!$I$180</f>
        <v>3063</v>
      </c>
      <c r="AL29" s="28">
        <f>'[130]Arc Results'!$I$191</f>
        <v>3067.0000000000005</v>
      </c>
      <c r="AM29" s="28">
        <f>'[130]Arc Results'!$I$81</f>
        <v>2996.1941087613295</v>
      </c>
      <c r="AN29" s="28">
        <f>'[130]Arc Results'!$I$81</f>
        <v>2996.1941087613295</v>
      </c>
      <c r="AP29" s="9">
        <f t="shared" si="10"/>
        <v>1.2</v>
      </c>
      <c r="AQ29" s="9">
        <f t="shared" si="11"/>
        <v>1</v>
      </c>
      <c r="AR29" s="9">
        <f t="shared" si="12"/>
        <v>1.0421437861824487</v>
      </c>
      <c r="AS29" s="9">
        <f t="shared" si="13"/>
        <v>1.0055189161777986</v>
      </c>
      <c r="AT29" s="9">
        <f t="shared" si="14"/>
        <v>1.0278293906887954</v>
      </c>
      <c r="AU29" s="9">
        <f t="shared" si="15"/>
        <v>1.000652528548124</v>
      </c>
      <c r="AV29" s="9">
        <f t="shared" si="16"/>
        <v>1</v>
      </c>
    </row>
    <row r="30" spans="1:48" ht="15.75">
      <c r="A30">
        <f t="shared" si="17"/>
        <v>26</v>
      </c>
      <c r="B30" s="9">
        <v>2020</v>
      </c>
      <c r="C30" s="9" t="s">
        <v>4</v>
      </c>
      <c r="D30" s="9" t="s">
        <v>88</v>
      </c>
      <c r="E30" s="7" t="s">
        <v>6</v>
      </c>
      <c r="F30" s="20" t="s">
        <v>87</v>
      </c>
      <c r="G30" s="7" t="s">
        <v>8</v>
      </c>
      <c r="H30" s="7" t="s">
        <v>9</v>
      </c>
      <c r="I30" s="9" t="s">
        <v>45</v>
      </c>
      <c r="J30" s="9">
        <v>500</v>
      </c>
      <c r="K30" s="9">
        <v>0.8</v>
      </c>
      <c r="L30" s="28">
        <f>'[131]Arc Results'!$I$10960+'[131]Arc Results'!$I$10971+'[131]Arc Results'!$I$10982+'[131]Arc Results'!$I$10993+'[131]Arc Results'!$I$11004+'[131]Arc Results'!$I$11015+'[131]Arc Results'!$I$11026+'[131]Arc Results'!$I$11037+'[131]Arc Results'!$I$11048+'[131]Arc Results'!$I$11059+'[131]Arc Results'!$I$11070+'[131]Arc Results'!$I$11081+'[131]Arc Results'!$I$11092+'[131]Arc Results'!$I$11103+'[131]Arc Results'!$I$11114+'[131]Arc Results'!$I$11125+'[131]Arc Results'!$I$11136+'[131]Arc Results'!$I$11147+'[131]Arc Results'!$I$11158+'[131]Arc Results'!$I$11169+'[131]Arc Results'!$I$11180+'[131]Arc Results'!$I$11191+'[131]Arc Results'!$I$11202+'[131]Arc Results'!$I$11213+'[131]Arc Results'!$I$11224+'[131]Arc Results'!$I$11235+'[131]Arc Results'!$I$11246+'[131]Arc Results'!$I$11257+'[131]Arc Results'!$I$11268</f>
        <v>3243.7921709969805</v>
      </c>
      <c r="M30" s="28">
        <f>'[131]Arc Results'!$I$257</f>
        <v>14299.710171428567</v>
      </c>
      <c r="N30" s="28">
        <f t="shared" si="1"/>
        <v>5589.0332326283988</v>
      </c>
      <c r="O30" s="28">
        <f t="shared" si="2"/>
        <v>8884.8338368580062</v>
      </c>
      <c r="P30" s="28">
        <f t="shared" si="3"/>
        <v>5537.5921450151054</v>
      </c>
      <c r="Q30" s="28">
        <f t="shared" si="4"/>
        <v>1360.8134441087614</v>
      </c>
      <c r="R30" s="28">
        <f t="shared" si="5"/>
        <v>374</v>
      </c>
      <c r="S30" s="28">
        <f t="shared" si="6"/>
        <v>289.30513595166161</v>
      </c>
      <c r="T30" s="28">
        <f t="shared" si="7"/>
        <v>6130</v>
      </c>
      <c r="U30" s="28" t="str">
        <f>[131]Log!$K$2</f>
        <v>341.789.350,43</v>
      </c>
      <c r="V30" s="28" t="str">
        <f>[131]Log!$J$2</f>
        <v>89.447.971,23</v>
      </c>
      <c r="W30" s="28" t="str">
        <f>[131]Log!$N$2</f>
        <v>35.475.755,55</v>
      </c>
      <c r="X30" s="32">
        <f t="shared" si="8"/>
        <v>0</v>
      </c>
      <c r="Y30" s="28"/>
      <c r="Z30" s="33">
        <f t="shared" si="9"/>
        <v>42465.287965990501</v>
      </c>
      <c r="AA30" s="28">
        <f>'[131]Arc Results'!$I$15</f>
        <v>108.48942598187311</v>
      </c>
      <c r="AB30" s="28">
        <f>'[131]Arc Results'!$I$26</f>
        <v>180.81570996978851</v>
      </c>
      <c r="AC30" s="28">
        <f>'[131]Arc Results'!$I$48</f>
        <v>562.34592145015108</v>
      </c>
      <c r="AD30" s="28">
        <f>'[131]Arc Results'!$I$59</f>
        <v>798.46752265861028</v>
      </c>
      <c r="AE30" s="28">
        <f>'[131]Arc Results'!$I$114</f>
        <v>187</v>
      </c>
      <c r="AF30" s="28">
        <f>'[131]Arc Results'!$I$125</f>
        <v>187</v>
      </c>
      <c r="AG30" s="28">
        <f>'[131]Arc Results'!$I$147</f>
        <v>2782.1374622356498</v>
      </c>
      <c r="AH30" s="28">
        <f>'[131]Arc Results'!$I$158</f>
        <v>2806.8957703927495</v>
      </c>
      <c r="AI30" s="28">
        <f>'[131]Arc Results'!$I$213</f>
        <v>4331.8126888217521</v>
      </c>
      <c r="AJ30" s="28">
        <f>'[131]Arc Results'!$I$224</f>
        <v>4553.0211480362541</v>
      </c>
      <c r="AK30" s="28">
        <f>'[131]Arc Results'!$I$180</f>
        <v>3063</v>
      </c>
      <c r="AL30" s="28">
        <f>'[131]Arc Results'!$I$191</f>
        <v>3067</v>
      </c>
      <c r="AM30" s="28">
        <f>'[131]Arc Results'!$I$81</f>
        <v>2768.7960725075527</v>
      </c>
      <c r="AN30" s="28">
        <f>'[131]Arc Results'!$I$81</f>
        <v>2768.7960725075527</v>
      </c>
      <c r="AP30" s="9">
        <f t="shared" si="10"/>
        <v>1.25</v>
      </c>
      <c r="AQ30" s="9">
        <f t="shared" si="11"/>
        <v>1.1735150414854274</v>
      </c>
      <c r="AR30" s="9">
        <f t="shared" si="12"/>
        <v>1</v>
      </c>
      <c r="AS30" s="9">
        <f t="shared" si="13"/>
        <v>1.0044298015643498</v>
      </c>
      <c r="AT30" s="9">
        <f t="shared" si="14"/>
        <v>1.0248973096488128</v>
      </c>
      <c r="AU30" s="9">
        <f t="shared" si="15"/>
        <v>1.000652528548124</v>
      </c>
      <c r="AV30" s="9">
        <f t="shared" si="16"/>
        <v>1</v>
      </c>
    </row>
    <row r="31" spans="1:48" ht="15.75">
      <c r="A31">
        <f t="shared" si="17"/>
        <v>27</v>
      </c>
      <c r="B31" s="9">
        <v>2020</v>
      </c>
      <c r="C31" s="9" t="s">
        <v>89</v>
      </c>
      <c r="D31" s="9" t="s">
        <v>5</v>
      </c>
      <c r="E31" s="7" t="s">
        <v>6</v>
      </c>
      <c r="F31" s="20" t="s">
        <v>7</v>
      </c>
      <c r="G31" s="7" t="s">
        <v>8</v>
      </c>
      <c r="H31" s="7" t="s">
        <v>9</v>
      </c>
      <c r="I31" s="9" t="s">
        <v>45</v>
      </c>
      <c r="J31" s="9">
        <v>500</v>
      </c>
      <c r="K31" s="9">
        <v>0.8</v>
      </c>
      <c r="L31" s="28">
        <f>'[132]Arc Results'!$I$10960+'[132]Arc Results'!$I$10971+'[132]Arc Results'!$I$10982+'[132]Arc Results'!$I$10993+'[132]Arc Results'!$I$11004+'[132]Arc Results'!$I$11015+'[132]Arc Results'!$I$11026+'[132]Arc Results'!$I$11037+'[132]Arc Results'!$I$11048+'[132]Arc Results'!$I$11059+'[132]Arc Results'!$I$11070+'[132]Arc Results'!$I$11081+'[132]Arc Results'!$I$11092+'[132]Arc Results'!$I$11103+'[132]Arc Results'!$I$11114+'[132]Arc Results'!$I$11125+'[132]Arc Results'!$I$11136+'[132]Arc Results'!$I$11147+'[132]Arc Results'!$I$11158+'[132]Arc Results'!$I$11169+'[132]Arc Results'!$I$11180+'[132]Arc Results'!$I$11191+'[132]Arc Results'!$I$11202+'[132]Arc Results'!$I$11213+'[132]Arc Results'!$I$11224+'[132]Arc Results'!$I$11235+'[132]Arc Results'!$I$11246+'[132]Arc Results'!$I$11257+'[132]Arc Results'!$I$11268</f>
        <v>3935.8572143629367</v>
      </c>
      <c r="M31" s="28">
        <f>'[132]Arc Results'!$I$257</f>
        <v>6165.6514285714256</v>
      </c>
      <c r="N31" s="28">
        <f t="shared" si="1"/>
        <v>5703.5762548262555</v>
      </c>
      <c r="O31" s="28">
        <f t="shared" si="2"/>
        <v>9908.2432432432433</v>
      </c>
      <c r="P31" s="28">
        <f t="shared" si="3"/>
        <v>7307.4085760536309</v>
      </c>
      <c r="Q31" s="28">
        <f t="shared" si="4"/>
        <v>2247.864864864865</v>
      </c>
      <c r="R31" s="28">
        <f t="shared" si="5"/>
        <v>546.26833976833973</v>
      </c>
      <c r="S31" s="28">
        <f t="shared" si="6"/>
        <v>589.18918918918916</v>
      </c>
      <c r="T31" s="28">
        <f t="shared" si="7"/>
        <v>6130</v>
      </c>
      <c r="U31" s="28" t="str">
        <f>[132]Log!$K$2</f>
        <v>326.651.341,53</v>
      </c>
      <c r="V31" s="28" t="str">
        <f>[132]Log!$J$2</f>
        <v>47.021.195,86</v>
      </c>
      <c r="W31" s="28" t="str">
        <f>[132]Log!$N$2</f>
        <v>71.948.395,79</v>
      </c>
      <c r="X31" s="32">
        <f t="shared" si="8"/>
        <v>0</v>
      </c>
      <c r="Y31" s="28"/>
      <c r="Z31" s="33">
        <f t="shared" si="9"/>
        <v>38598.201896516955</v>
      </c>
      <c r="AA31" s="28">
        <f>'[132]Arc Results'!$I$15</f>
        <v>254.18918918918914</v>
      </c>
      <c r="AB31" s="28">
        <f>'[132]Arc Results'!$I$26</f>
        <v>335</v>
      </c>
      <c r="AC31" s="28">
        <f>'[132]Arc Results'!$I$48</f>
        <v>1003.2277992277992</v>
      </c>
      <c r="AD31" s="28">
        <f>'[132]Arc Results'!$I$59</f>
        <v>1244.6370656370657</v>
      </c>
      <c r="AE31" s="28">
        <f>'[132]Arc Results'!$I$114</f>
        <v>257.18339768339769</v>
      </c>
      <c r="AF31" s="28">
        <f>'[132]Arc Results'!$I$125</f>
        <v>289.0849420849421</v>
      </c>
      <c r="AG31" s="28">
        <f>'[132]Arc Results'!$I$147</f>
        <v>2832.0125482625485</v>
      </c>
      <c r="AH31" s="28">
        <f>'[132]Arc Results'!$I$158</f>
        <v>2871.5637065637065</v>
      </c>
      <c r="AI31" s="28">
        <f>'[132]Arc Results'!$I$213</f>
        <v>4777.4324324324325</v>
      </c>
      <c r="AJ31" s="28">
        <f>'[132]Arc Results'!$I$224</f>
        <v>5130.8108108108108</v>
      </c>
      <c r="AK31" s="28">
        <f>'[132]Arc Results'!$I$180</f>
        <v>3063</v>
      </c>
      <c r="AL31" s="28">
        <f>'[132]Arc Results'!$I$191</f>
        <v>3067</v>
      </c>
      <c r="AM31" s="28">
        <f>'[132]Arc Results'!$I$81</f>
        <v>3653.7042880268154</v>
      </c>
      <c r="AN31" s="28">
        <f>'[132]Arc Results'!$I$81</f>
        <v>3653.7042880268154</v>
      </c>
      <c r="AP31" s="9">
        <f t="shared" si="10"/>
        <v>1.1371559633027524</v>
      </c>
      <c r="AQ31" s="9">
        <f t="shared" si="11"/>
        <v>1.1073949195890738</v>
      </c>
      <c r="AR31" s="9">
        <f t="shared" si="12"/>
        <v>1.0583990359299849</v>
      </c>
      <c r="AS31" s="9">
        <f t="shared" si="13"/>
        <v>1.0069344489376626</v>
      </c>
      <c r="AT31" s="9">
        <f t="shared" si="14"/>
        <v>1.0356650891286261</v>
      </c>
      <c r="AU31" s="9">
        <f t="shared" si="15"/>
        <v>1.000652528548124</v>
      </c>
      <c r="AV31" s="9">
        <f t="shared" si="16"/>
        <v>1</v>
      </c>
    </row>
    <row r="32" spans="1:48" ht="15.75">
      <c r="A32">
        <f t="shared" si="17"/>
        <v>28</v>
      </c>
      <c r="B32" s="9">
        <v>2020</v>
      </c>
      <c r="C32" s="9" t="s">
        <v>89</v>
      </c>
      <c r="D32" s="9" t="s">
        <v>5</v>
      </c>
      <c r="E32" s="7" t="s">
        <v>6</v>
      </c>
      <c r="F32" s="20" t="s">
        <v>76</v>
      </c>
      <c r="G32" s="7" t="s">
        <v>8</v>
      </c>
      <c r="H32" s="7" t="s">
        <v>9</v>
      </c>
      <c r="I32" s="9" t="s">
        <v>45</v>
      </c>
      <c r="J32" s="9">
        <v>500</v>
      </c>
      <c r="K32" s="9">
        <v>0.8</v>
      </c>
      <c r="L32" s="21">
        <f>'[133]Arc Results'!$I$10960+'[133]Arc Results'!$I$10971+'[133]Arc Results'!$I$10982+'[133]Arc Results'!$I$10993+'[133]Arc Results'!$I$11004+'[133]Arc Results'!$I$11015+'[133]Arc Results'!$I$11026+'[133]Arc Results'!$I$11037+'[133]Arc Results'!$I$11048+'[133]Arc Results'!$I$11059+'[133]Arc Results'!$I$11070+'[133]Arc Results'!$I$11081+'[133]Arc Results'!$I$11092+'[133]Arc Results'!$I$11103+'[133]Arc Results'!$I$11114+'[133]Arc Results'!$I$11125+'[133]Arc Results'!$I$11136+'[133]Arc Results'!$I$11147+'[133]Arc Results'!$I$11158+'[133]Arc Results'!$I$11169+'[133]Arc Results'!$I$11180+'[133]Arc Results'!$I$11191+'[133]Arc Results'!$I$11202+'[133]Arc Results'!$I$11213+'[133]Arc Results'!$I$11224+'[133]Arc Results'!$I$11235+'[133]Arc Results'!$I$11246+'[133]Arc Results'!$I$11257+'[133]Arc Results'!$I$11268</f>
        <v>3829.7891641698839</v>
      </c>
      <c r="M32" s="21">
        <f>'[133]Arc Results'!$I$257</f>
        <v>6165.6514285714275</v>
      </c>
      <c r="N32" s="21">
        <f t="shared" si="1"/>
        <v>6124.0000000000018</v>
      </c>
      <c r="O32" s="21">
        <f t="shared" si="2"/>
        <v>9821.6454077179333</v>
      </c>
      <c r="P32" s="22">
        <f t="shared" si="3"/>
        <v>7243.516409266409</v>
      </c>
      <c r="Q32" s="22">
        <f t="shared" si="4"/>
        <v>2127.1602316602316</v>
      </c>
      <c r="R32" s="22">
        <f t="shared" si="5"/>
        <v>533.50772200772201</v>
      </c>
      <c r="S32" s="22">
        <f t="shared" si="6"/>
        <v>566.08108108108104</v>
      </c>
      <c r="T32" s="22">
        <f t="shared" si="7"/>
        <v>6130</v>
      </c>
      <c r="U32" s="21" t="str">
        <f>[133]Log!$K$2</f>
        <v>312.414.743,93</v>
      </c>
      <c r="V32" s="21" t="str">
        <f>[133]Log!$J$2</f>
        <v>47.021.195,86</v>
      </c>
      <c r="W32" s="21" t="str">
        <f>[133]Log!$N$2</f>
        <v>71.948.395,79</v>
      </c>
      <c r="X32" s="23">
        <f t="shared" si="8"/>
        <v>0</v>
      </c>
      <c r="Y32" s="22"/>
      <c r="Z32" s="24">
        <f t="shared" si="9"/>
        <v>38711.562280304803</v>
      </c>
      <c r="AA32" s="22">
        <f>'[133]Arc Results'!$I$15</f>
        <v>231.08108108108104</v>
      </c>
      <c r="AB32" s="22">
        <f>'[133]Arc Results'!$I$26</f>
        <v>335</v>
      </c>
      <c r="AC32" s="22">
        <f>'[133]Arc Results'!$I$48</f>
        <v>942.87548262548262</v>
      </c>
      <c r="AD32" s="22">
        <f>'[133]Arc Results'!$I$59</f>
        <v>1184.284749034749</v>
      </c>
      <c r="AE32" s="22">
        <f>'[133]Arc Results'!$I$114</f>
        <v>250.8030888030888</v>
      </c>
      <c r="AF32" s="22">
        <f>'[133]Arc Results'!$I$125</f>
        <v>282.70463320463318</v>
      </c>
      <c r="AG32" s="22">
        <f>'[133]Arc Results'!$I$147</f>
        <v>2863.6534749034749</v>
      </c>
      <c r="AH32" s="22">
        <f>'[133]Arc Results'!$I$158</f>
        <v>3260.3465250965269</v>
      </c>
      <c r="AI32" s="22">
        <f>'[133]Arc Results'!$I$213</f>
        <v>4761.5102725827983</v>
      </c>
      <c r="AJ32" s="22">
        <f>'[133]Arc Results'!$I$224</f>
        <v>5060.135135135135</v>
      </c>
      <c r="AK32" s="22">
        <f>'[133]Arc Results'!$I$180</f>
        <v>3063</v>
      </c>
      <c r="AL32" s="22">
        <f>'[133]Arc Results'!$I$191</f>
        <v>3066.9999999999995</v>
      </c>
      <c r="AM32" s="22">
        <f>'[133]Arc Results'!$I$81</f>
        <v>3621.7582046332045</v>
      </c>
      <c r="AN32" s="22">
        <f>'[133]Arc Results'!$I$81</f>
        <v>3621.7582046332045</v>
      </c>
      <c r="AP32" s="9">
        <f t="shared" si="10"/>
        <v>1.1835760324659825</v>
      </c>
      <c r="AQ32" s="9">
        <f t="shared" si="11"/>
        <v>1.1134889900705074</v>
      </c>
      <c r="AR32" s="9">
        <f t="shared" si="12"/>
        <v>1.0597958437817749</v>
      </c>
      <c r="AS32" s="9">
        <f t="shared" si="13"/>
        <v>1.0647767880785519</v>
      </c>
      <c r="AT32" s="9">
        <f t="shared" si="14"/>
        <v>1.0304047692780351</v>
      </c>
      <c r="AU32" s="9">
        <f t="shared" si="15"/>
        <v>1.0006525285481238</v>
      </c>
      <c r="AV32" s="9">
        <f t="shared" si="16"/>
        <v>1</v>
      </c>
    </row>
    <row r="33" spans="1:48" ht="15.75">
      <c r="A33">
        <f t="shared" si="17"/>
        <v>29</v>
      </c>
      <c r="B33" s="9">
        <v>2020</v>
      </c>
      <c r="C33" s="9" t="s">
        <v>89</v>
      </c>
      <c r="D33" s="9" t="s">
        <v>5</v>
      </c>
      <c r="E33" s="7" t="s">
        <v>6</v>
      </c>
      <c r="F33" s="20" t="s">
        <v>77</v>
      </c>
      <c r="G33" s="7" t="s">
        <v>8</v>
      </c>
      <c r="H33" s="7" t="s">
        <v>9</v>
      </c>
      <c r="I33" s="9" t="s">
        <v>45</v>
      </c>
      <c r="J33" s="9">
        <v>500</v>
      </c>
      <c r="K33" s="9">
        <v>0.8</v>
      </c>
      <c r="L33" s="21">
        <f>'[134]Arc Results'!$I$10960+'[134]Arc Results'!$I$10971+'[134]Arc Results'!$I$10982+'[134]Arc Results'!$I$10993+'[134]Arc Results'!$I$11004+'[134]Arc Results'!$I$11015+'[134]Arc Results'!$I$11026+'[134]Arc Results'!$I$11037+'[134]Arc Results'!$I$11048+'[134]Arc Results'!$I$11059+'[134]Arc Results'!$I$11070+'[134]Arc Results'!$I$11081+'[134]Arc Results'!$I$11092+'[134]Arc Results'!$I$11103+'[134]Arc Results'!$I$11114+'[134]Arc Results'!$I$11125+'[134]Arc Results'!$I$11136+'[134]Arc Results'!$I$11147+'[134]Arc Results'!$I$11158+'[134]Arc Results'!$I$11169+'[134]Arc Results'!$I$11180+'[134]Arc Results'!$I$11191+'[134]Arc Results'!$I$11202+'[134]Arc Results'!$I$11213+'[134]Arc Results'!$I$11224+'[134]Arc Results'!$I$11235+'[134]Arc Results'!$I$11246+'[134]Arc Results'!$I$11257+'[134]Arc Results'!$I$11268</f>
        <v>3487.5445650965203</v>
      </c>
      <c r="M33" s="21">
        <f>'[134]Arc Results'!$I$257</f>
        <v>6165.6514285714329</v>
      </c>
      <c r="N33" s="21">
        <f t="shared" si="1"/>
        <v>5648.2046332046339</v>
      </c>
      <c r="O33" s="21">
        <f t="shared" si="2"/>
        <v>11503.999999999993</v>
      </c>
      <c r="P33" s="22">
        <f t="shared" si="3"/>
        <v>6371.6776061776063</v>
      </c>
      <c r="Q33" s="22">
        <f t="shared" si="4"/>
        <v>1809.1633249420911</v>
      </c>
      <c r="R33" s="22">
        <f t="shared" si="5"/>
        <v>501.6061776061776</v>
      </c>
      <c r="S33" s="22">
        <f t="shared" si="6"/>
        <v>462.16216216216208</v>
      </c>
      <c r="T33" s="22">
        <f t="shared" si="7"/>
        <v>6130</v>
      </c>
      <c r="U33" s="21" t="str">
        <f>[134]Log!$K$2</f>
        <v>300.030.251,95</v>
      </c>
      <c r="V33" s="21" t="str">
        <f>[134]Log!$J$2</f>
        <v>47.021.195,86</v>
      </c>
      <c r="W33" s="21" t="str">
        <f>[134]Log!$N$2</f>
        <v>71.948.395,79</v>
      </c>
      <c r="X33" s="23">
        <f t="shared" si="8"/>
        <v>0</v>
      </c>
      <c r="Y33" s="22"/>
      <c r="Z33" s="24">
        <f t="shared" si="9"/>
        <v>38592.465332664098</v>
      </c>
      <c r="AA33" s="22">
        <f>'[134]Arc Results'!$I$15</f>
        <v>184.86486486486484</v>
      </c>
      <c r="AB33" s="22">
        <f>'[134]Arc Results'!$I$26</f>
        <v>277.29729729729723</v>
      </c>
      <c r="AC33" s="22">
        <f>'[134]Arc Results'!$I$48</f>
        <v>761.81853281853284</v>
      </c>
      <c r="AD33" s="22">
        <f>'[134]Arc Results'!$I$59</f>
        <v>1047.3447921235581</v>
      </c>
      <c r="AE33" s="22">
        <f>'[134]Arc Results'!$I$114</f>
        <v>238.04247104247105</v>
      </c>
      <c r="AF33" s="22">
        <f>'[134]Arc Results'!$I$125</f>
        <v>263.56370656370655</v>
      </c>
      <c r="AG33" s="22">
        <f>'[134]Arc Results'!$I$147</f>
        <v>2808.2818532818533</v>
      </c>
      <c r="AH33" s="22">
        <f>'[134]Arc Results'!$I$158</f>
        <v>2839.9227799227801</v>
      </c>
      <c r="AI33" s="22">
        <f>'[134]Arc Results'!$I$213</f>
        <v>5176.7999999999929</v>
      </c>
      <c r="AJ33" s="22">
        <f>'[134]Arc Results'!$I$224</f>
        <v>6327.2000000000007</v>
      </c>
      <c r="AK33" s="22">
        <f>'[134]Arc Results'!$I$180</f>
        <v>3063</v>
      </c>
      <c r="AL33" s="22">
        <f>'[134]Arc Results'!$I$191</f>
        <v>3067</v>
      </c>
      <c r="AM33" s="22">
        <f>'[134]Arc Results'!$I$81</f>
        <v>3185.8388030888032</v>
      </c>
      <c r="AN33" s="22">
        <f>'[134]Arc Results'!$I$81</f>
        <v>3185.8388030888032</v>
      </c>
      <c r="AP33" s="9">
        <f t="shared" si="10"/>
        <v>1.2</v>
      </c>
      <c r="AQ33" s="9">
        <f t="shared" si="11"/>
        <v>1.157822268099628</v>
      </c>
      <c r="AR33" s="9">
        <f t="shared" si="12"/>
        <v>1.0508790295267711</v>
      </c>
      <c r="AS33" s="9">
        <f t="shared" si="13"/>
        <v>1.0056019441036035</v>
      </c>
      <c r="AT33" s="9">
        <f t="shared" si="14"/>
        <v>1.1000000000000008</v>
      </c>
      <c r="AU33" s="9">
        <f t="shared" si="15"/>
        <v>1.000652528548124</v>
      </c>
      <c r="AV33" s="9">
        <f t="shared" si="16"/>
        <v>1</v>
      </c>
    </row>
    <row r="34" spans="1:48" ht="15.75">
      <c r="A34">
        <f t="shared" si="17"/>
        <v>30</v>
      </c>
      <c r="B34" s="9">
        <v>2020</v>
      </c>
      <c r="C34" s="9" t="s">
        <v>89</v>
      </c>
      <c r="D34" s="9" t="s">
        <v>5</v>
      </c>
      <c r="E34" s="7" t="s">
        <v>6</v>
      </c>
      <c r="F34" s="20" t="s">
        <v>78</v>
      </c>
      <c r="G34" s="7" t="s">
        <v>8</v>
      </c>
      <c r="H34" s="7" t="s">
        <v>9</v>
      </c>
      <c r="I34" s="9" t="s">
        <v>45</v>
      </c>
      <c r="J34" s="9">
        <v>500</v>
      </c>
      <c r="K34" s="9">
        <v>0.8</v>
      </c>
      <c r="L34" s="21">
        <f>'[135]Arc Results'!$I$10960+'[135]Arc Results'!$I$10971+'[135]Arc Results'!$I$10982+'[135]Arc Results'!$I$10993+'[135]Arc Results'!$I$11004+'[135]Arc Results'!$I$11015+'[135]Arc Results'!$I$11026+'[135]Arc Results'!$I$11037+'[135]Arc Results'!$I$11048+'[135]Arc Results'!$I$11059+'[135]Arc Results'!$I$11070+'[135]Arc Results'!$I$11081+'[135]Arc Results'!$I$11092+'[135]Arc Results'!$I$11103+'[135]Arc Results'!$I$11114+'[135]Arc Results'!$I$11125+'[135]Arc Results'!$I$11136+'[135]Arc Results'!$I$11147+'[135]Arc Results'!$I$11158+'[135]Arc Results'!$I$11169+'[135]Arc Results'!$I$11180+'[135]Arc Results'!$I$11191+'[135]Arc Results'!$I$11202+'[135]Arc Results'!$I$11213+'[135]Arc Results'!$I$11224+'[135]Arc Results'!$I$11235+'[135]Arc Results'!$I$11246+'[135]Arc Results'!$I$11257+'[135]Arc Results'!$I$11268</f>
        <v>3724.2513218532904</v>
      </c>
      <c r="M34" s="21">
        <f>'[135]Arc Results'!$I$257</f>
        <v>6165.6514285714193</v>
      </c>
      <c r="N34" s="21">
        <f t="shared" si="1"/>
        <v>5553.2818532818528</v>
      </c>
      <c r="O34" s="21">
        <f t="shared" si="2"/>
        <v>8609.4762013899526</v>
      </c>
      <c r="P34" s="22">
        <f t="shared" si="3"/>
        <v>10089.000000000015</v>
      </c>
      <c r="Q34" s="22">
        <f t="shared" si="4"/>
        <v>1101.1708494208494</v>
      </c>
      <c r="R34" s="22">
        <f t="shared" si="5"/>
        <v>425.04247104247099</v>
      </c>
      <c r="S34" s="22">
        <f t="shared" si="6"/>
        <v>184.86486486486484</v>
      </c>
      <c r="T34" s="22">
        <f t="shared" si="7"/>
        <v>6130</v>
      </c>
      <c r="U34" s="21" t="str">
        <f>[135]Log!$K$2</f>
        <v>302.550.591,69</v>
      </c>
      <c r="V34" s="21" t="str">
        <f>[135]Log!$J$2</f>
        <v>47.021.195,86</v>
      </c>
      <c r="W34" s="21" t="str">
        <f>[135]Log!$N$2</f>
        <v>71.948.395,79</v>
      </c>
      <c r="X34" s="23">
        <f t="shared" si="8"/>
        <v>0</v>
      </c>
      <c r="Y34" s="22"/>
      <c r="Z34" s="24">
        <f t="shared" si="9"/>
        <v>38258.487668571426</v>
      </c>
      <c r="AA34" s="22">
        <f>'[135]Arc Results'!$I$15</f>
        <v>46.21621621621621</v>
      </c>
      <c r="AB34" s="22">
        <f>'[135]Arc Results'!$I$26</f>
        <v>138.64864864864862</v>
      </c>
      <c r="AC34" s="22">
        <f>'[135]Arc Results'!$I$48</f>
        <v>399.70463320463318</v>
      </c>
      <c r="AD34" s="22">
        <f>'[135]Arc Results'!$I$59</f>
        <v>701.46621621621625</v>
      </c>
      <c r="AE34" s="22">
        <f>'[135]Arc Results'!$I$114</f>
        <v>199.76061776061775</v>
      </c>
      <c r="AF34" s="22">
        <f>'[135]Arc Results'!$I$125</f>
        <v>225.28185328185327</v>
      </c>
      <c r="AG34" s="22">
        <f>'[135]Arc Results'!$I$147</f>
        <v>2760.8204633204632</v>
      </c>
      <c r="AH34" s="22">
        <f>'[135]Arc Results'!$I$158</f>
        <v>2792.4613899613901</v>
      </c>
      <c r="AI34" s="22">
        <f>'[135]Arc Results'!$I$213</f>
        <v>4141.3513513513517</v>
      </c>
      <c r="AJ34" s="22">
        <f>'[135]Arc Results'!$I$224</f>
        <v>4468.1248500386018</v>
      </c>
      <c r="AK34" s="22">
        <f>'[135]Arc Results'!$I$180</f>
        <v>3063</v>
      </c>
      <c r="AL34" s="22">
        <f>'[135]Arc Results'!$I$191</f>
        <v>3067</v>
      </c>
      <c r="AM34" s="22">
        <f>'[135]Arc Results'!$I$81</f>
        <v>5044.5000000000073</v>
      </c>
      <c r="AN34" s="22">
        <f>'[135]Arc Results'!$I$81</f>
        <v>5044.5000000000073</v>
      </c>
      <c r="AP34" s="9">
        <f t="shared" si="10"/>
        <v>1.4999999999999998</v>
      </c>
      <c r="AQ34" s="9">
        <f t="shared" si="11"/>
        <v>1.2740370244728978</v>
      </c>
      <c r="AR34" s="9">
        <f t="shared" si="12"/>
        <v>1.0600439656268736</v>
      </c>
      <c r="AS34" s="9">
        <f t="shared" si="13"/>
        <v>1.0056976986720436</v>
      </c>
      <c r="AT34" s="9">
        <f t="shared" si="14"/>
        <v>1.0379550963430848</v>
      </c>
      <c r="AU34" s="9">
        <f t="shared" si="15"/>
        <v>1.000652528548124</v>
      </c>
      <c r="AV34" s="9">
        <f t="shared" si="16"/>
        <v>1</v>
      </c>
    </row>
    <row r="35" spans="1:48" ht="15.75">
      <c r="A35">
        <f t="shared" si="17"/>
        <v>31</v>
      </c>
      <c r="B35" s="9">
        <v>2020</v>
      </c>
      <c r="C35" s="9" t="s">
        <v>89</v>
      </c>
      <c r="D35" s="9" t="s">
        <v>5</v>
      </c>
      <c r="E35" s="7" t="s">
        <v>6</v>
      </c>
      <c r="F35" s="20" t="s">
        <v>79</v>
      </c>
      <c r="G35" s="7" t="s">
        <v>8</v>
      </c>
      <c r="H35" s="7" t="s">
        <v>9</v>
      </c>
      <c r="I35" s="9" t="s">
        <v>45</v>
      </c>
      <c r="J35" s="9">
        <v>500</v>
      </c>
      <c r="K35" s="9">
        <v>0.8</v>
      </c>
      <c r="L35" s="21">
        <f>'[136]Arc Results'!$I$10960+'[136]Arc Results'!$I$10971+'[136]Arc Results'!$I$10982+'[136]Arc Results'!$I$10993+'[136]Arc Results'!$I$11004+'[136]Arc Results'!$I$11015+'[136]Arc Results'!$I$11026+'[136]Arc Results'!$I$11037+'[136]Arc Results'!$I$11048+'[136]Arc Results'!$I$11059+'[136]Arc Results'!$I$11070+'[136]Arc Results'!$I$11081+'[136]Arc Results'!$I$11092+'[136]Arc Results'!$I$11103+'[136]Arc Results'!$I$11114+'[136]Arc Results'!$I$11125+'[136]Arc Results'!$I$11136+'[136]Arc Results'!$I$11147+'[136]Arc Results'!$I$11158+'[136]Arc Results'!$I$11169+'[136]Arc Results'!$I$11180+'[136]Arc Results'!$I$11191+'[136]Arc Results'!$I$11202+'[136]Arc Results'!$I$11213+'[136]Arc Results'!$I$11224+'[136]Arc Results'!$I$11235+'[136]Arc Results'!$I$11246+'[136]Arc Results'!$I$11257+'[136]Arc Results'!$I$11268</f>
        <v>3935.8572143629344</v>
      </c>
      <c r="M35" s="21">
        <f>'[136]Arc Results'!$I$257</f>
        <v>6165.6514285714211</v>
      </c>
      <c r="N35" s="21">
        <f t="shared" si="1"/>
        <v>5703.5762548262555</v>
      </c>
      <c r="O35" s="21">
        <f t="shared" si="2"/>
        <v>9908.2432432432433</v>
      </c>
      <c r="P35" s="22">
        <f t="shared" si="3"/>
        <v>7243.516409266409</v>
      </c>
      <c r="Q35" s="22">
        <f t="shared" si="4"/>
        <v>2199.0001374476628</v>
      </c>
      <c r="R35" s="22">
        <f t="shared" si="5"/>
        <v>546.26833976833973</v>
      </c>
      <c r="S35" s="22">
        <f t="shared" si="6"/>
        <v>670</v>
      </c>
      <c r="T35" s="22">
        <f t="shared" si="7"/>
        <v>6130</v>
      </c>
      <c r="U35" s="21" t="str">
        <f>[136]Log!$K$2</f>
        <v>324.981.277,45</v>
      </c>
      <c r="V35" s="21" t="str">
        <f>[136]Log!$J$2</f>
        <v>47.021.195,86</v>
      </c>
      <c r="W35" s="21" t="str">
        <f>[136]Log!$N$2</f>
        <v>71.948.395,79</v>
      </c>
      <c r="X35" s="23">
        <f t="shared" si="8"/>
        <v>0</v>
      </c>
      <c r="Y35" s="22"/>
      <c r="Z35" s="24">
        <f t="shared" si="9"/>
        <v>38566.255813123331</v>
      </c>
      <c r="AA35" s="22">
        <f>'[136]Arc Results'!$I$15</f>
        <v>335</v>
      </c>
      <c r="AB35" s="22">
        <f>'[136]Arc Results'!$I$26</f>
        <v>335</v>
      </c>
      <c r="AC35" s="22">
        <f>'[136]Arc Results'!$I$48</f>
        <v>954.36307181059715</v>
      </c>
      <c r="AD35" s="22">
        <f>'[136]Arc Results'!$I$59</f>
        <v>1244.6370656370657</v>
      </c>
      <c r="AE35" s="22">
        <f>'[136]Arc Results'!$I$114</f>
        <v>257.18339768339769</v>
      </c>
      <c r="AF35" s="22">
        <f>'[136]Arc Results'!$I$125</f>
        <v>289.0849420849421</v>
      </c>
      <c r="AG35" s="22">
        <f>'[136]Arc Results'!$I$147</f>
        <v>2832.0125482625485</v>
      </c>
      <c r="AH35" s="22">
        <f>'[136]Arc Results'!$I$158</f>
        <v>2871.5637065637065</v>
      </c>
      <c r="AI35" s="22">
        <f>'[136]Arc Results'!$I$213</f>
        <v>4777.4324324324325</v>
      </c>
      <c r="AJ35" s="22">
        <f>'[136]Arc Results'!$I$224</f>
        <v>5130.8108108108108</v>
      </c>
      <c r="AK35" s="22">
        <f>'[136]Arc Results'!$I$180</f>
        <v>3063</v>
      </c>
      <c r="AL35" s="22">
        <f>'[136]Arc Results'!$I$191</f>
        <v>3067</v>
      </c>
      <c r="AM35" s="22">
        <f>'[136]Arc Results'!$I$81</f>
        <v>3621.7582046332045</v>
      </c>
      <c r="AN35" s="22">
        <f>'[136]Arc Results'!$I$81</f>
        <v>3621.7582046332045</v>
      </c>
      <c r="AP35" s="9">
        <f t="shared" si="10"/>
        <v>1</v>
      </c>
      <c r="AQ35" s="9">
        <f t="shared" si="11"/>
        <v>1.1320027174547538</v>
      </c>
      <c r="AR35" s="9">
        <f t="shared" si="12"/>
        <v>1.0583990359299849</v>
      </c>
      <c r="AS35" s="9">
        <f t="shared" si="13"/>
        <v>1.0069344489376626</v>
      </c>
      <c r="AT35" s="9">
        <f t="shared" si="14"/>
        <v>1.0356650891286261</v>
      </c>
      <c r="AU35" s="9">
        <f t="shared" si="15"/>
        <v>1.000652528548124</v>
      </c>
      <c r="AV35" s="9">
        <f t="shared" si="16"/>
        <v>1</v>
      </c>
    </row>
    <row r="36" spans="1:48" ht="15.75">
      <c r="A36">
        <f t="shared" si="17"/>
        <v>32</v>
      </c>
      <c r="B36" s="9">
        <v>2020</v>
      </c>
      <c r="C36" s="9" t="s">
        <v>89</v>
      </c>
      <c r="D36" s="9" t="s">
        <v>5</v>
      </c>
      <c r="E36" s="7" t="s">
        <v>6</v>
      </c>
      <c r="F36" s="20" t="s">
        <v>80</v>
      </c>
      <c r="G36" s="7" t="s">
        <v>8</v>
      </c>
      <c r="H36" s="7" t="s">
        <v>9</v>
      </c>
      <c r="I36" s="9" t="s">
        <v>45</v>
      </c>
      <c r="J36" s="9">
        <v>500</v>
      </c>
      <c r="K36" s="9">
        <v>0.8</v>
      </c>
      <c r="L36" s="21">
        <f>'[137]Arc Results'!$I$10960+'[137]Arc Results'!$I$10971+'[137]Arc Results'!$I$10982+'[137]Arc Results'!$I$10993+'[137]Arc Results'!$I$11004+'[137]Arc Results'!$I$11015+'[137]Arc Results'!$I$11026+'[137]Arc Results'!$I$11037+'[137]Arc Results'!$I$11048+'[137]Arc Results'!$I$11059+'[137]Arc Results'!$I$11070+'[137]Arc Results'!$I$11081+'[137]Arc Results'!$I$11092+'[137]Arc Results'!$I$11103+'[137]Arc Results'!$I$11114+'[137]Arc Results'!$I$11125+'[137]Arc Results'!$I$11136+'[137]Arc Results'!$I$11147+'[137]Arc Results'!$I$11158+'[137]Arc Results'!$I$11169+'[137]Arc Results'!$I$11180+'[137]Arc Results'!$I$11191+'[137]Arc Results'!$I$11202+'[137]Arc Results'!$I$11213+'[137]Arc Results'!$I$11224+'[137]Arc Results'!$I$11235+'[137]Arc Results'!$I$11246+'[137]Arc Results'!$I$11257+'[137]Arc Results'!$I$11268</f>
        <v>3881.5261332818545</v>
      </c>
      <c r="M36" s="21">
        <f>'[137]Arc Results'!$I$257</f>
        <v>6165.651428571442</v>
      </c>
      <c r="N36" s="21">
        <f t="shared" si="1"/>
        <v>5671.9353281853282</v>
      </c>
      <c r="O36" s="21">
        <f t="shared" si="2"/>
        <v>9625.54054054054</v>
      </c>
      <c r="P36" s="22">
        <f t="shared" si="3"/>
        <v>6791.9183487258733</v>
      </c>
      <c r="Q36" s="22">
        <f t="shared" si="4"/>
        <v>3219.9999999999991</v>
      </c>
      <c r="R36" s="22">
        <f t="shared" si="5"/>
        <v>520.74710424710429</v>
      </c>
      <c r="S36" s="22">
        <f t="shared" si="6"/>
        <v>531.48648648648646</v>
      </c>
      <c r="T36" s="22">
        <f t="shared" si="7"/>
        <v>6130</v>
      </c>
      <c r="U36" s="21" t="str">
        <f>[137]Log!$K$2</f>
        <v>319.032.589,59</v>
      </c>
      <c r="V36" s="21" t="str">
        <f>[137]Log!$J$2</f>
        <v>47.021.195,86</v>
      </c>
      <c r="W36" s="21" t="str">
        <f>[137]Log!$N$2</f>
        <v>71.948.395,79</v>
      </c>
      <c r="X36" s="23">
        <f t="shared" si="8"/>
        <v>0</v>
      </c>
      <c r="Y36" s="22"/>
      <c r="Z36" s="24">
        <f t="shared" si="9"/>
        <v>38657.279236756774</v>
      </c>
      <c r="AA36" s="22">
        <f>'[137]Arc Results'!$I$15</f>
        <v>207.97297297297294</v>
      </c>
      <c r="AB36" s="22">
        <f>'[137]Arc Results'!$I$26</f>
        <v>323.51351351351349</v>
      </c>
      <c r="AC36" s="22">
        <f>'[137]Arc Results'!$I$48</f>
        <v>1448.9999999999989</v>
      </c>
      <c r="AD36" s="22">
        <f>'[137]Arc Results'!$I$59</f>
        <v>1771.0000000000002</v>
      </c>
      <c r="AE36" s="22">
        <f>'[137]Arc Results'!$I$114</f>
        <v>244.42277992277991</v>
      </c>
      <c r="AF36" s="22">
        <f>'[137]Arc Results'!$I$125</f>
        <v>276.32432432432432</v>
      </c>
      <c r="AG36" s="22">
        <f>'[137]Arc Results'!$I$147</f>
        <v>2816.1920849420849</v>
      </c>
      <c r="AH36" s="22">
        <f>'[137]Arc Results'!$I$158</f>
        <v>2855.7432432432433</v>
      </c>
      <c r="AI36" s="22">
        <f>'[137]Arc Results'!$I$213</f>
        <v>4636.0810810810808</v>
      </c>
      <c r="AJ36" s="22">
        <f>'[137]Arc Results'!$I$224</f>
        <v>4989.4594594594591</v>
      </c>
      <c r="AK36" s="22">
        <f>'[137]Arc Results'!$I$180</f>
        <v>3063</v>
      </c>
      <c r="AL36" s="22">
        <f>'[137]Arc Results'!$I$191</f>
        <v>3067</v>
      </c>
      <c r="AM36" s="22">
        <f>'[137]Arc Results'!$I$81</f>
        <v>3395.9591743629367</v>
      </c>
      <c r="AN36" s="22">
        <f>'[137]Arc Results'!$I$81</f>
        <v>3395.9591743629367</v>
      </c>
      <c r="AP36" s="9">
        <f t="shared" si="10"/>
        <v>1.2173913043478262</v>
      </c>
      <c r="AQ36" s="9">
        <f t="shared" si="11"/>
        <v>1.1000000000000005</v>
      </c>
      <c r="AR36" s="9">
        <f t="shared" si="12"/>
        <v>1.0612611076304832</v>
      </c>
      <c r="AS36" s="9">
        <f t="shared" si="13"/>
        <v>1.0069731328043567</v>
      </c>
      <c r="AT36" s="9">
        <f t="shared" si="14"/>
        <v>1.0367125749343666</v>
      </c>
      <c r="AU36" s="9">
        <f t="shared" si="15"/>
        <v>1.000652528548124</v>
      </c>
      <c r="AV36" s="9">
        <f t="shared" si="16"/>
        <v>1</v>
      </c>
    </row>
    <row r="37" spans="1:48" ht="15.75">
      <c r="A37">
        <f t="shared" si="17"/>
        <v>33</v>
      </c>
      <c r="B37" s="9">
        <v>2020</v>
      </c>
      <c r="C37" s="9" t="s">
        <v>89</v>
      </c>
      <c r="D37" s="9" t="s">
        <v>5</v>
      </c>
      <c r="E37" s="7" t="s">
        <v>6</v>
      </c>
      <c r="F37" s="20" t="s">
        <v>81</v>
      </c>
      <c r="G37" s="7" t="s">
        <v>8</v>
      </c>
      <c r="H37" s="7" t="s">
        <v>9</v>
      </c>
      <c r="I37" s="9" t="s">
        <v>45</v>
      </c>
      <c r="J37" s="9">
        <v>500</v>
      </c>
      <c r="K37" s="9">
        <v>0.8</v>
      </c>
      <c r="L37" s="21">
        <f>'[138]Arc Results'!$I$10960+'[138]Arc Results'!$I$10971+'[138]Arc Results'!$I$10982+'[138]Arc Results'!$I$10993+'[138]Arc Results'!$I$11004+'[138]Arc Results'!$I$11015+'[138]Arc Results'!$I$11026+'[138]Arc Results'!$I$11037+'[138]Arc Results'!$I$11048+'[138]Arc Results'!$I$11059+'[138]Arc Results'!$I$11070+'[138]Arc Results'!$I$11081+'[138]Arc Results'!$I$11092+'[138]Arc Results'!$I$11103+'[138]Arc Results'!$I$11114+'[138]Arc Results'!$I$11125+'[138]Arc Results'!$I$11136+'[138]Arc Results'!$I$11147+'[138]Arc Results'!$I$11158+'[138]Arc Results'!$I$11169+'[138]Arc Results'!$I$11180+'[138]Arc Results'!$I$11191+'[138]Arc Results'!$I$11202+'[138]Arc Results'!$I$11213+'[138]Arc Results'!$I$11224+'[138]Arc Results'!$I$11235+'[138]Arc Results'!$I$11246+'[138]Arc Results'!$I$11257+'[138]Arc Results'!$I$11268</f>
        <v>3922.0754166836109</v>
      </c>
      <c r="M37" s="21">
        <f>'[138]Arc Results'!$I$257</f>
        <v>6165.6514285714384</v>
      </c>
      <c r="N37" s="21">
        <f t="shared" si="1"/>
        <v>5695.6660231660235</v>
      </c>
      <c r="O37" s="21">
        <f t="shared" si="2"/>
        <v>9908.2432432432433</v>
      </c>
      <c r="P37" s="22">
        <f t="shared" si="3"/>
        <v>7243.516409266409</v>
      </c>
      <c r="Q37" s="22">
        <f t="shared" si="4"/>
        <v>2161.9895196870466</v>
      </c>
      <c r="R37" s="22">
        <f t="shared" si="5"/>
        <v>671.99999999999977</v>
      </c>
      <c r="S37" s="22">
        <f t="shared" si="6"/>
        <v>589.18918918918916</v>
      </c>
      <c r="T37" s="22">
        <f t="shared" si="7"/>
        <v>6130</v>
      </c>
      <c r="U37" s="21" t="str">
        <f>[138]Log!$K$2</f>
        <v>325.078.311,58</v>
      </c>
      <c r="V37" s="21" t="str">
        <f>[138]Log!$J$2</f>
        <v>47.021.195,86</v>
      </c>
      <c r="W37" s="21" t="str">
        <f>[138]Log!$N$2</f>
        <v>71.948.395,79</v>
      </c>
      <c r="X37" s="23">
        <f t="shared" si="8"/>
        <v>0</v>
      </c>
      <c r="Y37" s="22"/>
      <c r="Z37" s="24">
        <f t="shared" si="9"/>
        <v>38566.255813123353</v>
      </c>
      <c r="AA37" s="22">
        <f>'[138]Arc Results'!$I$15</f>
        <v>254.18918918918914</v>
      </c>
      <c r="AB37" s="22">
        <f>'[138]Arc Results'!$I$26</f>
        <v>335</v>
      </c>
      <c r="AC37" s="22">
        <f>'[138]Arc Results'!$I$48</f>
        <v>942.87548262548262</v>
      </c>
      <c r="AD37" s="22">
        <f>'[138]Arc Results'!$I$59</f>
        <v>1219.114037061564</v>
      </c>
      <c r="AE37" s="22">
        <f>'[138]Arc Results'!$I$114</f>
        <v>335.69999999999982</v>
      </c>
      <c r="AF37" s="22">
        <f>'[138]Arc Results'!$I$125</f>
        <v>336.3</v>
      </c>
      <c r="AG37" s="22">
        <f>'[138]Arc Results'!$I$147</f>
        <v>2832.0125482625485</v>
      </c>
      <c r="AH37" s="22">
        <f>'[138]Arc Results'!$I$158</f>
        <v>2863.6534749034749</v>
      </c>
      <c r="AI37" s="22">
        <f>'[138]Arc Results'!$I$213</f>
        <v>4777.4324324324325</v>
      </c>
      <c r="AJ37" s="22">
        <f>'[138]Arc Results'!$I$224</f>
        <v>5130.8108108108108</v>
      </c>
      <c r="AK37" s="22">
        <f>'[138]Arc Results'!$I$180</f>
        <v>3063</v>
      </c>
      <c r="AL37" s="22">
        <f>'[138]Arc Results'!$I$191</f>
        <v>3067</v>
      </c>
      <c r="AM37" s="22">
        <f>'[138]Arc Results'!$I$81</f>
        <v>3621.7582046332045</v>
      </c>
      <c r="AN37" s="22">
        <f>'[138]Arc Results'!$I$81</f>
        <v>3621.7582046332045</v>
      </c>
      <c r="AP37" s="9">
        <f t="shared" si="10"/>
        <v>1.1371559633027524</v>
      </c>
      <c r="AQ37" s="9">
        <f t="shared" si="11"/>
        <v>1.1277705335389727</v>
      </c>
      <c r="AR37" s="9">
        <f t="shared" si="12"/>
        <v>1.0008928571428575</v>
      </c>
      <c r="AS37" s="9">
        <f t="shared" si="13"/>
        <v>1.0055552636886069</v>
      </c>
      <c r="AT37" s="9">
        <f t="shared" si="14"/>
        <v>1.0356650891286261</v>
      </c>
      <c r="AU37" s="9">
        <f t="shared" si="15"/>
        <v>1.000652528548124</v>
      </c>
      <c r="AV37" s="9">
        <f t="shared" si="16"/>
        <v>1</v>
      </c>
    </row>
    <row r="38" spans="1:48" ht="15.75">
      <c r="A38">
        <f t="shared" si="17"/>
        <v>34</v>
      </c>
      <c r="B38" s="9">
        <v>2020</v>
      </c>
      <c r="C38" s="9" t="s">
        <v>89</v>
      </c>
      <c r="D38" s="9" t="s">
        <v>5</v>
      </c>
      <c r="E38" s="7" t="s">
        <v>6</v>
      </c>
      <c r="F38" s="20" t="s">
        <v>82</v>
      </c>
      <c r="G38" s="7" t="s">
        <v>8</v>
      </c>
      <c r="H38" s="7" t="s">
        <v>9</v>
      </c>
      <c r="I38" s="9" t="s">
        <v>45</v>
      </c>
      <c r="J38" s="9">
        <v>500</v>
      </c>
      <c r="K38" s="9">
        <v>0.8</v>
      </c>
      <c r="L38" s="21">
        <f>'[139]Arc Results'!$I$10960+'[139]Arc Results'!$I$10971+'[139]Arc Results'!$I$10982+'[139]Arc Results'!$I$10993+'[139]Arc Results'!$I$11004+'[139]Arc Results'!$I$11015+'[139]Arc Results'!$I$11026+'[139]Arc Results'!$I$11037+'[139]Arc Results'!$I$11048+'[139]Arc Results'!$I$11059+'[139]Arc Results'!$I$11070+'[139]Arc Results'!$I$11081+'[139]Arc Results'!$I$11092+'[139]Arc Results'!$I$11103+'[139]Arc Results'!$I$11114+'[139]Arc Results'!$I$11125+'[139]Arc Results'!$I$11136+'[139]Arc Results'!$I$11147+'[139]Arc Results'!$I$11158+'[139]Arc Results'!$I$11169+'[139]Arc Results'!$I$11180+'[139]Arc Results'!$I$11191+'[139]Arc Results'!$I$11202+'[139]Arc Results'!$I$11213+'[139]Arc Results'!$I$11224+'[139]Arc Results'!$I$11235+'[139]Arc Results'!$I$11246+'[139]Arc Results'!$I$11257+'[139]Arc Results'!$I$11268</f>
        <v>4062.3691425523371</v>
      </c>
      <c r="M38" s="21">
        <f>'[139]Arc Results'!$I$257</f>
        <v>6165.6514285714229</v>
      </c>
      <c r="N38" s="21">
        <f t="shared" si="1"/>
        <v>5490</v>
      </c>
      <c r="O38" s="21">
        <f t="shared" si="2"/>
        <v>9978.9189189189201</v>
      </c>
      <c r="P38" s="22">
        <f t="shared" si="3"/>
        <v>7534.1293436293436</v>
      </c>
      <c r="Q38" s="22">
        <f t="shared" si="4"/>
        <v>2247.864864864865</v>
      </c>
      <c r="R38" s="22">
        <f t="shared" si="5"/>
        <v>552.64864864864865</v>
      </c>
      <c r="S38" s="22">
        <f t="shared" si="6"/>
        <v>612.29729729729729</v>
      </c>
      <c r="T38" s="22">
        <f t="shared" si="7"/>
        <v>6130</v>
      </c>
      <c r="U38" s="21" t="str">
        <f>[139]Log!$K$2</f>
        <v>339.569.195,49</v>
      </c>
      <c r="V38" s="21" t="str">
        <f>[139]Log!$J$2</f>
        <v>47.021.195,86</v>
      </c>
      <c r="W38" s="21" t="str">
        <f>[139]Log!$N$2</f>
        <v>71.948.395,79</v>
      </c>
      <c r="X38" s="23">
        <f t="shared" si="8"/>
        <v>0</v>
      </c>
      <c r="Y38" s="22"/>
      <c r="Z38" s="24">
        <f t="shared" si="9"/>
        <v>38711.510501930497</v>
      </c>
      <c r="AA38" s="22">
        <f>'[139]Arc Results'!$I$15</f>
        <v>277.29729729729723</v>
      </c>
      <c r="AB38" s="22">
        <f>'[139]Arc Results'!$I$26</f>
        <v>335</v>
      </c>
      <c r="AC38" s="22">
        <f>'[139]Arc Results'!$I$48</f>
        <v>1003.2277992277992</v>
      </c>
      <c r="AD38" s="22">
        <f>'[139]Arc Results'!$I$59</f>
        <v>1244.6370656370657</v>
      </c>
      <c r="AE38" s="22">
        <f>'[139]Arc Results'!$I$114</f>
        <v>263.56370656370655</v>
      </c>
      <c r="AF38" s="22">
        <f>'[139]Arc Results'!$I$125</f>
        <v>289.0849420849421</v>
      </c>
      <c r="AG38" s="22">
        <f>'[139]Arc Results'!$I$147</f>
        <v>2745</v>
      </c>
      <c r="AH38" s="22">
        <f>'[139]Arc Results'!$I$158</f>
        <v>2745</v>
      </c>
      <c r="AI38" s="22">
        <f>'[139]Arc Results'!$I$213</f>
        <v>4848.1081081081084</v>
      </c>
      <c r="AJ38" s="22">
        <f>'[139]Arc Results'!$I$224</f>
        <v>5130.8108108108108</v>
      </c>
      <c r="AK38" s="22">
        <f>'[139]Arc Results'!$I$180</f>
        <v>3063</v>
      </c>
      <c r="AL38" s="22">
        <f>'[139]Arc Results'!$I$191</f>
        <v>3067</v>
      </c>
      <c r="AM38" s="22">
        <f>'[139]Arc Results'!$I$81</f>
        <v>3767.0646718146718</v>
      </c>
      <c r="AN38" s="22">
        <f>'[139]Arc Results'!$I$81</f>
        <v>3767.0646718146718</v>
      </c>
      <c r="AP38" s="9">
        <f t="shared" si="10"/>
        <v>1.0942396821893621</v>
      </c>
      <c r="AQ38" s="9">
        <f t="shared" si="11"/>
        <v>1.1073949195890738</v>
      </c>
      <c r="AR38" s="9">
        <f t="shared" si="12"/>
        <v>1.0461798569192935</v>
      </c>
      <c r="AS38" s="9">
        <f t="shared" si="13"/>
        <v>1</v>
      </c>
      <c r="AT38" s="9">
        <f t="shared" si="14"/>
        <v>1.0283299929581278</v>
      </c>
      <c r="AU38" s="9">
        <f t="shared" si="15"/>
        <v>1.000652528548124</v>
      </c>
      <c r="AV38" s="9">
        <f t="shared" si="16"/>
        <v>1</v>
      </c>
    </row>
    <row r="39" spans="1:48" ht="15.75">
      <c r="A39">
        <f t="shared" si="17"/>
        <v>35</v>
      </c>
      <c r="B39" s="9">
        <v>2020</v>
      </c>
      <c r="C39" s="9" t="s">
        <v>89</v>
      </c>
      <c r="D39" s="9" t="s">
        <v>5</v>
      </c>
      <c r="E39" s="7" t="s">
        <v>6</v>
      </c>
      <c r="F39" s="20" t="s">
        <v>83</v>
      </c>
      <c r="G39" s="7" t="s">
        <v>8</v>
      </c>
      <c r="H39" s="7" t="s">
        <v>9</v>
      </c>
      <c r="I39" s="9" t="s">
        <v>45</v>
      </c>
      <c r="J39" s="9">
        <v>500</v>
      </c>
      <c r="K39" s="9">
        <v>0.8</v>
      </c>
      <c r="L39" s="21">
        <f>'[140]Arc Results'!$I$10960+'[140]Arc Results'!$I$10971+'[140]Arc Results'!$I$10982+'[140]Arc Results'!$I$10993+'[140]Arc Results'!$I$11004+'[140]Arc Results'!$I$11015+'[140]Arc Results'!$I$11026+'[140]Arc Results'!$I$11037+'[140]Arc Results'!$I$11048+'[140]Arc Results'!$I$11059+'[140]Arc Results'!$I$11070+'[140]Arc Results'!$I$11081+'[140]Arc Results'!$I$11092+'[140]Arc Results'!$I$11103+'[140]Arc Results'!$I$11114+'[140]Arc Results'!$I$11125+'[140]Arc Results'!$I$11136+'[140]Arc Results'!$I$11147+'[140]Arc Results'!$I$11158+'[140]Arc Results'!$I$11169+'[140]Arc Results'!$I$11180+'[140]Arc Results'!$I$11191+'[140]Arc Results'!$I$11202+'[140]Arc Results'!$I$11213+'[140]Arc Results'!$I$11224+'[140]Arc Results'!$I$11235+'[140]Arc Results'!$I$11246+'[140]Arc Results'!$I$11257+'[140]Arc Results'!$I$11268</f>
        <v>4127.9743314800508</v>
      </c>
      <c r="M39" s="21">
        <f>'[140]Arc Results'!$I$257</f>
        <v>6165.6514285714193</v>
      </c>
      <c r="N39" s="21">
        <f t="shared" si="1"/>
        <v>5766.8581081081084</v>
      </c>
      <c r="O39" s="21">
        <f t="shared" si="2"/>
        <v>8058.8963963963961</v>
      </c>
      <c r="P39" s="22">
        <f t="shared" si="3"/>
        <v>8608.447829592882</v>
      </c>
      <c r="Q39" s="22">
        <f t="shared" si="4"/>
        <v>2670.3310810810808</v>
      </c>
      <c r="R39" s="22">
        <f t="shared" si="5"/>
        <v>597.31081081081084</v>
      </c>
      <c r="S39" s="22">
        <f t="shared" si="6"/>
        <v>670</v>
      </c>
      <c r="T39" s="22">
        <f t="shared" si="7"/>
        <v>6130</v>
      </c>
      <c r="U39" s="21" t="str">
        <f>[140]Log!$K$2</f>
        <v>347.376.844,85</v>
      </c>
      <c r="V39" s="21" t="str">
        <f>[140]Log!$J$2</f>
        <v>47.021.195,86</v>
      </c>
      <c r="W39" s="21" t="str">
        <f>[140]Log!$N$2</f>
        <v>71.948.395,79</v>
      </c>
      <c r="X39" s="23">
        <f t="shared" si="8"/>
        <v>0</v>
      </c>
      <c r="Y39" s="22"/>
      <c r="Z39" s="24">
        <f t="shared" si="9"/>
        <v>38667.495654560698</v>
      </c>
      <c r="AA39" s="22">
        <f>'[140]Arc Results'!$I$15</f>
        <v>335</v>
      </c>
      <c r="AB39" s="22">
        <f>'[140]Arc Results'!$I$26</f>
        <v>335</v>
      </c>
      <c r="AC39" s="22">
        <f>'[140]Arc Results'!$I$48</f>
        <v>1184.284749034749</v>
      </c>
      <c r="AD39" s="22">
        <f>'[140]Arc Results'!$I$59</f>
        <v>1486.0463320463321</v>
      </c>
      <c r="AE39" s="22">
        <f>'[140]Arc Results'!$I$114</f>
        <v>282.70463320463318</v>
      </c>
      <c r="AF39" s="22">
        <f>'[140]Arc Results'!$I$125</f>
        <v>314.6061776061776</v>
      </c>
      <c r="AG39" s="22">
        <f>'[140]Arc Results'!$I$147</f>
        <v>2863.6534749034749</v>
      </c>
      <c r="AH39" s="22">
        <f>'[140]Arc Results'!$I$158</f>
        <v>2903.2046332046334</v>
      </c>
      <c r="AI39" s="22">
        <f>'[140]Arc Results'!$I$213</f>
        <v>4000</v>
      </c>
      <c r="AJ39" s="22">
        <f>'[140]Arc Results'!$I$224</f>
        <v>4058.8963963963965</v>
      </c>
      <c r="AK39" s="22">
        <f>'[140]Arc Results'!$I$180</f>
        <v>3063</v>
      </c>
      <c r="AL39" s="22">
        <f>'[140]Arc Results'!$I$191</f>
        <v>3067</v>
      </c>
      <c r="AM39" s="22">
        <f>'[140]Arc Results'!$I$81</f>
        <v>4304.223914796441</v>
      </c>
      <c r="AN39" s="22">
        <f>'[140]Arc Results'!$I$81</f>
        <v>4304.223914796441</v>
      </c>
      <c r="AP39" s="9">
        <f t="shared" si="10"/>
        <v>1</v>
      </c>
      <c r="AQ39" s="9">
        <f t="shared" si="11"/>
        <v>1.1130053067761978</v>
      </c>
      <c r="AR39" s="9">
        <f t="shared" si="12"/>
        <v>1.0534086171288948</v>
      </c>
      <c r="AS39" s="9">
        <f t="shared" si="13"/>
        <v>1.0068583546811305</v>
      </c>
      <c r="AT39" s="9">
        <f t="shared" si="14"/>
        <v>1.0073082458812515</v>
      </c>
      <c r="AU39" s="9">
        <f t="shared" si="15"/>
        <v>1.000652528548124</v>
      </c>
      <c r="AV39" s="9">
        <f t="shared" si="16"/>
        <v>1</v>
      </c>
    </row>
    <row r="40" spans="1:48" ht="15.75">
      <c r="A40">
        <f t="shared" si="17"/>
        <v>36</v>
      </c>
      <c r="B40" s="9">
        <v>2020</v>
      </c>
      <c r="C40" s="9" t="s">
        <v>89</v>
      </c>
      <c r="D40" s="9" t="s">
        <v>5</v>
      </c>
      <c r="E40" s="7" t="s">
        <v>6</v>
      </c>
      <c r="F40" s="20" t="s">
        <v>84</v>
      </c>
      <c r="G40" s="7" t="s">
        <v>8</v>
      </c>
      <c r="H40" s="7" t="s">
        <v>9</v>
      </c>
      <c r="I40" s="9" t="s">
        <v>45</v>
      </c>
      <c r="J40" s="9">
        <v>500</v>
      </c>
      <c r="K40" s="9">
        <v>0.8</v>
      </c>
      <c r="L40" s="21">
        <f>'[141]Arc Results'!$I$10960+'[141]Arc Results'!$I$10971+'[141]Arc Results'!$I$10982+'[141]Arc Results'!$I$10993+'[141]Arc Results'!$I$11004+'[141]Arc Results'!$I$11015+'[141]Arc Results'!$I$11026+'[141]Arc Results'!$I$11037+'[141]Arc Results'!$I$11048+'[141]Arc Results'!$I$11059+'[141]Arc Results'!$I$11070+'[141]Arc Results'!$I$11081+'[141]Arc Results'!$I$11092+'[141]Arc Results'!$I$11103+'[141]Arc Results'!$I$11114+'[141]Arc Results'!$I$11125+'[141]Arc Results'!$I$11136+'[141]Arc Results'!$I$11147+'[141]Arc Results'!$I$11158+'[141]Arc Results'!$I$11169+'[141]Arc Results'!$I$11180+'[141]Arc Results'!$I$11191+'[141]Arc Results'!$I$11202+'[141]Arc Results'!$I$11213+'[141]Arc Results'!$I$11224+'[141]Arc Results'!$I$11235+'[141]Arc Results'!$I$11246+'[141]Arc Results'!$I$11257+'[141]Arc Results'!$I$11268</f>
        <v>3577.1305412612551</v>
      </c>
      <c r="M40" s="21">
        <f>'[141]Arc Results'!$I$257</f>
        <v>6165.6514285714193</v>
      </c>
      <c r="N40" s="21">
        <f t="shared" si="1"/>
        <v>6124.0000000000064</v>
      </c>
      <c r="O40" s="21">
        <f t="shared" si="2"/>
        <v>11503.999999999998</v>
      </c>
      <c r="P40" s="22">
        <f t="shared" si="3"/>
        <v>4628</v>
      </c>
      <c r="Q40" s="22">
        <f t="shared" si="4"/>
        <v>3190.8137153112375</v>
      </c>
      <c r="R40" s="22">
        <f t="shared" si="5"/>
        <v>638.14555984555977</v>
      </c>
      <c r="S40" s="22">
        <f t="shared" si="6"/>
        <v>670</v>
      </c>
      <c r="T40" s="22">
        <f t="shared" si="7"/>
        <v>6130</v>
      </c>
      <c r="U40" s="21" t="str">
        <f>[141]Log!$K$2</f>
        <v>341.745.371,09</v>
      </c>
      <c r="V40" s="21" t="str">
        <f>[141]Log!$J$2</f>
        <v>47.021.195,86</v>
      </c>
      <c r="W40" s="21" t="str">
        <f>[141]Log!$N$2</f>
        <v>71.948.395,79</v>
      </c>
      <c r="X40" s="23">
        <f t="shared" si="8"/>
        <v>0</v>
      </c>
      <c r="Y40" s="22"/>
      <c r="Z40" s="24">
        <f t="shared" si="9"/>
        <v>39050.61070372822</v>
      </c>
      <c r="AA40" s="22">
        <f>'[141]Arc Results'!$I$15</f>
        <v>335</v>
      </c>
      <c r="AB40" s="22">
        <f>'[141]Arc Results'!$I$26</f>
        <v>335</v>
      </c>
      <c r="AC40" s="22">
        <f>'[141]Arc Results'!$I$48</f>
        <v>1419.8137153112375</v>
      </c>
      <c r="AD40" s="22">
        <f>'[141]Arc Results'!$I$59</f>
        <v>1771.0000000000002</v>
      </c>
      <c r="AE40" s="22">
        <f>'[141]Arc Results'!$I$114</f>
        <v>301.84555984555982</v>
      </c>
      <c r="AF40" s="22">
        <f>'[141]Arc Results'!$I$125</f>
        <v>336.3</v>
      </c>
      <c r="AG40" s="22">
        <f>'[141]Arc Results'!$I$147</f>
        <v>2871.5637065637065</v>
      </c>
      <c r="AH40" s="22">
        <f>'[141]Arc Results'!$I$158</f>
        <v>3252.4362934362998</v>
      </c>
      <c r="AI40" s="22">
        <f>'[141]Arc Results'!$I$213</f>
        <v>5176.7999999999975</v>
      </c>
      <c r="AJ40" s="22">
        <f>'[141]Arc Results'!$I$224</f>
        <v>6327.2000000000007</v>
      </c>
      <c r="AK40" s="22">
        <f>'[141]Arc Results'!$I$180</f>
        <v>3063</v>
      </c>
      <c r="AL40" s="22">
        <f>'[141]Arc Results'!$I$191</f>
        <v>3067</v>
      </c>
      <c r="AM40" s="22">
        <f>'[141]Arc Results'!$I$81</f>
        <v>2314</v>
      </c>
      <c r="AN40" s="22">
        <f>'[141]Arc Results'!$I$81</f>
        <v>2314</v>
      </c>
      <c r="AP40" s="9">
        <f t="shared" si="10"/>
        <v>1</v>
      </c>
      <c r="AQ40" s="9">
        <f t="shared" si="11"/>
        <v>1.1100616695370158</v>
      </c>
      <c r="AR40" s="9">
        <f t="shared" si="12"/>
        <v>1.0539915065189496</v>
      </c>
      <c r="AS40" s="9">
        <f t="shared" si="13"/>
        <v>1.0621934335193652</v>
      </c>
      <c r="AT40" s="9">
        <f t="shared" si="14"/>
        <v>1.1000000000000003</v>
      </c>
      <c r="AU40" s="9">
        <f t="shared" si="15"/>
        <v>1.000652528548124</v>
      </c>
      <c r="AV40" s="9">
        <f t="shared" si="16"/>
        <v>1</v>
      </c>
    </row>
    <row r="41" spans="1:48" ht="15.75">
      <c r="A41">
        <f t="shared" si="17"/>
        <v>37</v>
      </c>
      <c r="B41" s="9">
        <v>2020</v>
      </c>
      <c r="C41" s="9" t="s">
        <v>89</v>
      </c>
      <c r="D41" s="9" t="s">
        <v>5</v>
      </c>
      <c r="E41" s="7" t="s">
        <v>6</v>
      </c>
      <c r="F41" s="20" t="s">
        <v>85</v>
      </c>
      <c r="G41" s="7" t="s">
        <v>8</v>
      </c>
      <c r="H41" s="7" t="s">
        <v>9</v>
      </c>
      <c r="I41" s="9" t="s">
        <v>45</v>
      </c>
      <c r="J41" s="9">
        <v>500</v>
      </c>
      <c r="K41" s="9">
        <v>0.8</v>
      </c>
      <c r="L41" s="21">
        <f>'[142]Arc Results'!$I$10960+'[142]Arc Results'!$I$10971+'[142]Arc Results'!$I$10982+'[142]Arc Results'!$I$10993+'[142]Arc Results'!$I$11004+'[142]Arc Results'!$I$11015+'[142]Arc Results'!$I$11026+'[142]Arc Results'!$I$11037+'[142]Arc Results'!$I$11048+'[142]Arc Results'!$I$11059+'[142]Arc Results'!$I$11070+'[142]Arc Results'!$I$11081+'[142]Arc Results'!$I$11092+'[142]Arc Results'!$I$11103+'[142]Arc Results'!$I$11114+'[142]Arc Results'!$I$11125+'[142]Arc Results'!$I$11136+'[142]Arc Results'!$I$11147+'[142]Arc Results'!$I$11158+'[142]Arc Results'!$I$11169+'[142]Arc Results'!$I$11180+'[142]Arc Results'!$I$11191+'[142]Arc Results'!$I$11202+'[142]Arc Results'!$I$11213+'[142]Arc Results'!$I$11224+'[142]Arc Results'!$I$11235+'[142]Arc Results'!$I$11246+'[142]Arc Results'!$I$11257+'[142]Arc Results'!$I$11268</f>
        <v>3980.2322143629353</v>
      </c>
      <c r="M41" s="21">
        <f>'[142]Arc Results'!$I$257</f>
        <v>6165.6514285714147</v>
      </c>
      <c r="N41" s="21">
        <f t="shared" si="1"/>
        <v>5719.3967181467178</v>
      </c>
      <c r="O41" s="21">
        <f t="shared" si="2"/>
        <v>10049.594594594595</v>
      </c>
      <c r="P41" s="22">
        <f t="shared" si="3"/>
        <v>7613.8998887949419</v>
      </c>
      <c r="Q41" s="22">
        <f t="shared" si="4"/>
        <v>2368.569498069498</v>
      </c>
      <c r="R41" s="22">
        <f t="shared" si="5"/>
        <v>559.02895752895756</v>
      </c>
      <c r="S41" s="22">
        <f t="shared" si="6"/>
        <v>0</v>
      </c>
      <c r="T41" s="22">
        <f t="shared" si="7"/>
        <v>6130</v>
      </c>
      <c r="U41" s="21" t="str">
        <f>[142]Log!$K$2</f>
        <v>327.213.824,08</v>
      </c>
      <c r="V41" s="21" t="str">
        <f>[142]Log!$J$2</f>
        <v>47.021.195,86</v>
      </c>
      <c r="W41" s="21" t="str">
        <f>[142]Log!$N$2</f>
        <v>71.948.395,79</v>
      </c>
      <c r="X41" s="23">
        <f t="shared" si="8"/>
        <v>0</v>
      </c>
      <c r="Y41" s="22"/>
      <c r="Z41" s="24">
        <f t="shared" si="9"/>
        <v>38606.141085706127</v>
      </c>
      <c r="AA41" s="22">
        <f>'[142]Arc Results'!$I$15</f>
        <v>0</v>
      </c>
      <c r="AB41" s="22">
        <f>'[142]Arc Results'!$I$26</f>
        <v>0</v>
      </c>
      <c r="AC41" s="22">
        <f>'[142]Arc Results'!$I$48</f>
        <v>1063.5801158301158</v>
      </c>
      <c r="AD41" s="22">
        <f>'[142]Arc Results'!$I$59</f>
        <v>1304.9893822393822</v>
      </c>
      <c r="AE41" s="22">
        <f>'[142]Arc Results'!$I$114</f>
        <v>263.56370656370655</v>
      </c>
      <c r="AF41" s="22">
        <f>'[142]Arc Results'!$I$125</f>
        <v>295.46525096525096</v>
      </c>
      <c r="AG41" s="22">
        <f>'[142]Arc Results'!$I$147</f>
        <v>2839.9227799227801</v>
      </c>
      <c r="AH41" s="22">
        <f>'[142]Arc Results'!$I$158</f>
        <v>2879.4739382239381</v>
      </c>
      <c r="AI41" s="22">
        <f>'[142]Arc Results'!$I$213</f>
        <v>4848.1081081081084</v>
      </c>
      <c r="AJ41" s="22">
        <f>'[142]Arc Results'!$I$224</f>
        <v>5201.4864864864867</v>
      </c>
      <c r="AK41" s="22">
        <f>'[142]Arc Results'!$I$180</f>
        <v>3063</v>
      </c>
      <c r="AL41" s="22">
        <f>'[142]Arc Results'!$I$191</f>
        <v>3067</v>
      </c>
      <c r="AM41" s="22">
        <f>'[142]Arc Results'!$I$81</f>
        <v>3806.949944397471</v>
      </c>
      <c r="AN41" s="22">
        <f>'[142]Arc Results'!$I$81</f>
        <v>3806.949944397471</v>
      </c>
      <c r="AP41" s="9" t="e">
        <f t="shared" si="10"/>
        <v>#DIV/0!</v>
      </c>
      <c r="AQ41" s="9">
        <f t="shared" si="11"/>
        <v>1.1019219687689243</v>
      </c>
      <c r="AR41" s="9">
        <f t="shared" si="12"/>
        <v>1.0570659962635154</v>
      </c>
      <c r="AS41" s="9">
        <f t="shared" si="13"/>
        <v>1.0069152675098878</v>
      </c>
      <c r="AT41" s="9">
        <f t="shared" si="14"/>
        <v>1.0351634461521912</v>
      </c>
      <c r="AU41" s="9">
        <f t="shared" si="15"/>
        <v>1.000652528548124</v>
      </c>
      <c r="AV41" s="9">
        <f t="shared" si="16"/>
        <v>1</v>
      </c>
    </row>
    <row r="42" spans="1:48" ht="15.75">
      <c r="A42">
        <f t="shared" si="17"/>
        <v>38</v>
      </c>
      <c r="B42" s="9">
        <v>2020</v>
      </c>
      <c r="C42" s="9" t="s">
        <v>89</v>
      </c>
      <c r="D42" s="9" t="s">
        <v>5</v>
      </c>
      <c r="E42" s="7" t="s">
        <v>6</v>
      </c>
      <c r="F42" s="7" t="s">
        <v>86</v>
      </c>
      <c r="G42" s="7" t="s">
        <v>8</v>
      </c>
      <c r="H42" s="7" t="s">
        <v>9</v>
      </c>
      <c r="I42" s="9" t="s">
        <v>45</v>
      </c>
      <c r="J42" s="9">
        <v>500</v>
      </c>
      <c r="K42" s="9">
        <v>0.8</v>
      </c>
      <c r="L42" s="21">
        <f>'[143]Arc Results'!$I$10960+'[143]Arc Results'!$I$10971+'[143]Arc Results'!$I$10982+'[143]Arc Results'!$I$10993+'[143]Arc Results'!$I$11004+'[143]Arc Results'!$I$11015+'[143]Arc Results'!$I$11026+'[143]Arc Results'!$I$11037+'[143]Arc Results'!$I$11048+'[143]Arc Results'!$I$11059+'[143]Arc Results'!$I$11070+'[143]Arc Results'!$I$11081+'[143]Arc Results'!$I$11092+'[143]Arc Results'!$I$11103+'[143]Arc Results'!$I$11114+'[143]Arc Results'!$I$11125+'[143]Arc Results'!$I$11136+'[143]Arc Results'!$I$11147+'[143]Arc Results'!$I$11158+'[143]Arc Results'!$I$11169+'[143]Arc Results'!$I$11180+'[143]Arc Results'!$I$11191+'[143]Arc Results'!$I$11202+'[143]Arc Results'!$I$11213+'[143]Arc Results'!$I$11224+'[143]Arc Results'!$I$11235+'[143]Arc Results'!$I$11246+'[143]Arc Results'!$I$11257+'[143]Arc Results'!$I$11268</f>
        <v>4181.5848761430707</v>
      </c>
      <c r="M42" s="21">
        <f>'[143]Arc Results'!$I$257</f>
        <v>6165.6514285714456</v>
      </c>
      <c r="N42" s="21">
        <f t="shared" si="1"/>
        <v>5758.9478764478772</v>
      </c>
      <c r="O42" s="21">
        <f t="shared" si="2"/>
        <v>10402.972972972973</v>
      </c>
      <c r="P42" s="22">
        <f t="shared" si="3"/>
        <v>8405.9681467181472</v>
      </c>
      <c r="Q42" s="22">
        <f t="shared" si="4"/>
        <v>587.09135366388023</v>
      </c>
      <c r="R42" s="22">
        <f t="shared" si="5"/>
        <v>590.93050193050192</v>
      </c>
      <c r="S42" s="22">
        <f t="shared" si="6"/>
        <v>670</v>
      </c>
      <c r="T42" s="22">
        <f t="shared" si="7"/>
        <v>6130</v>
      </c>
      <c r="U42" s="21" t="str">
        <f>[143]Log!$K$2</f>
        <v>329.604.019,79</v>
      </c>
      <c r="V42" s="21" t="str">
        <f>[143]Log!$J$2</f>
        <v>47.021.195,86</v>
      </c>
      <c r="W42" s="21" t="str">
        <f>[143]Log!$N$2</f>
        <v>71.948.395,79</v>
      </c>
      <c r="X42" s="23">
        <f t="shared" si="8"/>
        <v>0</v>
      </c>
      <c r="Y42" s="22"/>
      <c r="Z42" s="24">
        <f t="shared" si="9"/>
        <v>38711.562280304825</v>
      </c>
      <c r="AA42" s="22">
        <f>'[143]Arc Results'!$I$15</f>
        <v>335</v>
      </c>
      <c r="AB42" s="22">
        <f>'[143]Arc Results'!$I$26</f>
        <v>335</v>
      </c>
      <c r="AC42" s="22">
        <f>'[143]Arc Results'!$I$48</f>
        <v>279</v>
      </c>
      <c r="AD42" s="22">
        <f>'[143]Arc Results'!$I$59</f>
        <v>308.09135366388028</v>
      </c>
      <c r="AE42" s="22">
        <f>'[143]Arc Results'!$I$114</f>
        <v>282.70463320463318</v>
      </c>
      <c r="AF42" s="22">
        <f>'[143]Arc Results'!$I$125</f>
        <v>308.22586872586874</v>
      </c>
      <c r="AG42" s="22">
        <f>'[143]Arc Results'!$I$147</f>
        <v>2863.6534749034749</v>
      </c>
      <c r="AH42" s="22">
        <f>'[143]Arc Results'!$I$158</f>
        <v>2895.2944015444018</v>
      </c>
      <c r="AI42" s="22">
        <f>'[143]Arc Results'!$I$213</f>
        <v>5060.135135135135</v>
      </c>
      <c r="AJ42" s="22">
        <f>'[143]Arc Results'!$I$224</f>
        <v>5342.8378378378375</v>
      </c>
      <c r="AK42" s="22">
        <f>'[143]Arc Results'!$I$180</f>
        <v>3063</v>
      </c>
      <c r="AL42" s="22">
        <f>'[143]Arc Results'!$I$191</f>
        <v>3067</v>
      </c>
      <c r="AM42" s="22">
        <f>'[143]Arc Results'!$I$81</f>
        <v>4202.9840733590736</v>
      </c>
      <c r="AN42" s="22">
        <f>'[143]Arc Results'!$I$81</f>
        <v>4202.9840733590736</v>
      </c>
      <c r="AP42" s="9">
        <f t="shared" si="10"/>
        <v>1</v>
      </c>
      <c r="AQ42" s="9">
        <f t="shared" si="11"/>
        <v>1.0495516642892608</v>
      </c>
      <c r="AR42" s="9">
        <f t="shared" si="12"/>
        <v>1.0431882183063161</v>
      </c>
      <c r="AS42" s="9">
        <f t="shared" si="13"/>
        <v>1.0054942200068049</v>
      </c>
      <c r="AT42" s="9">
        <f t="shared" si="14"/>
        <v>1.027175183809202</v>
      </c>
      <c r="AU42" s="9">
        <f t="shared" si="15"/>
        <v>1.000652528548124</v>
      </c>
      <c r="AV42" s="9">
        <f t="shared" si="16"/>
        <v>1</v>
      </c>
    </row>
    <row r="43" spans="1:48" ht="15.75">
      <c r="A43">
        <f t="shared" si="17"/>
        <v>39</v>
      </c>
      <c r="B43" s="9">
        <v>2020</v>
      </c>
      <c r="C43" s="9" t="s">
        <v>89</v>
      </c>
      <c r="D43" s="9" t="s">
        <v>5</v>
      </c>
      <c r="E43" s="7" t="s">
        <v>6</v>
      </c>
      <c r="F43" s="20" t="s">
        <v>87</v>
      </c>
      <c r="G43" s="7" t="s">
        <v>8</v>
      </c>
      <c r="H43" s="7" t="s">
        <v>9</v>
      </c>
      <c r="I43" s="9" t="s">
        <v>45</v>
      </c>
      <c r="J43" s="9">
        <v>500</v>
      </c>
      <c r="K43" s="9">
        <v>0.8</v>
      </c>
      <c r="L43" s="21">
        <f>'[144]Arc Results'!$I$10960+'[144]Arc Results'!$I$10971+'[144]Arc Results'!$I$10982+'[144]Arc Results'!$I$10993+'[144]Arc Results'!$I$11004+'[144]Arc Results'!$I$11015+'[144]Arc Results'!$I$11026+'[144]Arc Results'!$I$11037+'[144]Arc Results'!$I$11048+'[144]Arc Results'!$I$11059+'[144]Arc Results'!$I$11070+'[144]Arc Results'!$I$11081+'[144]Arc Results'!$I$11092+'[144]Arc Results'!$I$11103+'[144]Arc Results'!$I$11114+'[144]Arc Results'!$I$11125+'[144]Arc Results'!$I$11136+'[144]Arc Results'!$I$11147+'[144]Arc Results'!$I$11158+'[144]Arc Results'!$I$11169+'[144]Arc Results'!$I$11180+'[144]Arc Results'!$I$11191+'[144]Arc Results'!$I$11202+'[144]Arc Results'!$I$11213+'[144]Arc Results'!$I$11224+'[144]Arc Results'!$I$11235+'[144]Arc Results'!$I$11246+'[144]Arc Results'!$I$11257+'[144]Arc Results'!$I$11268</f>
        <v>4037.9421564478776</v>
      </c>
      <c r="M43" s="21">
        <f>'[144]Arc Results'!$I$257</f>
        <v>6165.6514285714293</v>
      </c>
      <c r="N43" s="21">
        <f t="shared" si="1"/>
        <v>5703.5762548262555</v>
      </c>
      <c r="O43" s="21">
        <f t="shared" si="2"/>
        <v>9967.1511992237265</v>
      </c>
      <c r="P43" s="22">
        <f t="shared" si="3"/>
        <v>7534.1293436293436</v>
      </c>
      <c r="Q43" s="22">
        <f t="shared" si="4"/>
        <v>2247.864864864865</v>
      </c>
      <c r="R43" s="22">
        <f t="shared" si="5"/>
        <v>374.00000000000034</v>
      </c>
      <c r="S43" s="22">
        <f t="shared" si="6"/>
        <v>589.18918918918916</v>
      </c>
      <c r="T43" s="22">
        <f t="shared" si="7"/>
        <v>6130</v>
      </c>
      <c r="U43" s="21" t="str">
        <f>[144]Log!$K$2</f>
        <v>327.620.435,81</v>
      </c>
      <c r="V43" s="21" t="str">
        <f>[144]Log!$J$2</f>
        <v>47.021.195,86</v>
      </c>
      <c r="W43" s="21" t="str">
        <f>[144]Log!$N$2</f>
        <v>71.948.395,79</v>
      </c>
      <c r="X43" s="23">
        <f t="shared" si="8"/>
        <v>0</v>
      </c>
      <c r="Y43" s="22"/>
      <c r="Z43" s="24">
        <f t="shared" si="9"/>
        <v>38711.562280304817</v>
      </c>
      <c r="AA43" s="22">
        <f>'[144]Arc Results'!$I$15</f>
        <v>254.18918918918914</v>
      </c>
      <c r="AB43" s="22">
        <f>'[144]Arc Results'!$I$26</f>
        <v>335</v>
      </c>
      <c r="AC43" s="22">
        <f>'[144]Arc Results'!$I$48</f>
        <v>1003.2277992277992</v>
      </c>
      <c r="AD43" s="22">
        <f>'[144]Arc Results'!$I$59</f>
        <v>1244.6370656370657</v>
      </c>
      <c r="AE43" s="22">
        <f>'[144]Arc Results'!$I$114</f>
        <v>187</v>
      </c>
      <c r="AF43" s="22">
        <f>'[144]Arc Results'!$I$125</f>
        <v>187.00000000000037</v>
      </c>
      <c r="AG43" s="22">
        <f>'[144]Arc Results'!$I$147</f>
        <v>2832.0125482625485</v>
      </c>
      <c r="AH43" s="22">
        <f>'[144]Arc Results'!$I$158</f>
        <v>2871.5637065637065</v>
      </c>
      <c r="AI43" s="22">
        <f>'[144]Arc Results'!$I$213</f>
        <v>4836.3403884129157</v>
      </c>
      <c r="AJ43" s="22">
        <f>'[144]Arc Results'!$I$224</f>
        <v>5130.8108108108108</v>
      </c>
      <c r="AK43" s="22">
        <f>'[144]Arc Results'!$I$180</f>
        <v>3063</v>
      </c>
      <c r="AL43" s="22">
        <f>'[144]Arc Results'!$I$191</f>
        <v>3067</v>
      </c>
      <c r="AM43" s="22">
        <f>'[144]Arc Results'!$I$81</f>
        <v>3767.0646718146718</v>
      </c>
      <c r="AN43" s="22">
        <f>'[144]Arc Results'!$I$81</f>
        <v>3767.0646718146718</v>
      </c>
      <c r="AP43" s="9">
        <f t="shared" si="10"/>
        <v>1.1371559633027524</v>
      </c>
      <c r="AQ43" s="9">
        <f t="shared" si="11"/>
        <v>1.1073949195890738</v>
      </c>
      <c r="AR43" s="9">
        <f t="shared" si="12"/>
        <v>1.0000000000000011</v>
      </c>
      <c r="AS43" s="9">
        <f t="shared" si="13"/>
        <v>1.0069344489376626</v>
      </c>
      <c r="AT43" s="9">
        <f t="shared" si="14"/>
        <v>1.0295440910358449</v>
      </c>
      <c r="AU43" s="9">
        <f t="shared" si="15"/>
        <v>1.000652528548124</v>
      </c>
      <c r="AV43" s="9">
        <f t="shared" si="16"/>
        <v>1</v>
      </c>
    </row>
    <row r="44" spans="1:48" ht="15.75">
      <c r="A44">
        <f t="shared" si="17"/>
        <v>40</v>
      </c>
      <c r="B44" s="9">
        <v>2020</v>
      </c>
      <c r="C44" s="9" t="s">
        <v>89</v>
      </c>
      <c r="D44" s="9" t="s">
        <v>88</v>
      </c>
      <c r="E44" s="7" t="s">
        <v>6</v>
      </c>
      <c r="F44" s="20" t="s">
        <v>7</v>
      </c>
      <c r="G44" s="7" t="s">
        <v>8</v>
      </c>
      <c r="H44" s="7" t="s">
        <v>9</v>
      </c>
      <c r="I44" s="9" t="s">
        <v>45</v>
      </c>
      <c r="J44" s="9">
        <v>500</v>
      </c>
      <c r="K44" s="9">
        <v>0.8</v>
      </c>
      <c r="L44" s="21">
        <f>'[145]Arc Results'!$I$10960+'[145]Arc Results'!$I$10971+'[145]Arc Results'!$I$10982+'[145]Arc Results'!$I$10993+'[145]Arc Results'!$I$11004+'[145]Arc Results'!$I$11015+'[145]Arc Results'!$I$11026+'[145]Arc Results'!$I$11037+'[145]Arc Results'!$I$11048+'[145]Arc Results'!$I$11059+'[145]Arc Results'!$I$11070+'[145]Arc Results'!$I$11081+'[145]Arc Results'!$I$11092+'[145]Arc Results'!$I$11103+'[145]Arc Results'!$I$11114+'[145]Arc Results'!$I$11125+'[145]Arc Results'!$I$11136+'[145]Arc Results'!$I$11147+'[145]Arc Results'!$I$11158+'[145]Arc Results'!$I$11169+'[145]Arc Results'!$I$11180+'[145]Arc Results'!$I$11191+'[145]Arc Results'!$I$11202+'[145]Arc Results'!$I$11213+'[145]Arc Results'!$I$11224+'[145]Arc Results'!$I$11235+'[145]Arc Results'!$I$11246+'[145]Arc Results'!$I$11257+'[145]Arc Results'!$I$11268</f>
        <v>3207.6363031802016</v>
      </c>
      <c r="M44" s="21">
        <f>'[145]Arc Results'!$I$257</f>
        <v>14223.844769725041</v>
      </c>
      <c r="N44" s="21">
        <f t="shared" si="1"/>
        <v>5589.0332326283988</v>
      </c>
      <c r="O44" s="21">
        <f t="shared" si="2"/>
        <v>8884.8338368580062</v>
      </c>
      <c r="P44" s="22">
        <f t="shared" si="3"/>
        <v>5537.5921450151054</v>
      </c>
      <c r="Q44" s="22">
        <f t="shared" si="4"/>
        <v>1360.8134441087614</v>
      </c>
      <c r="R44" s="22">
        <f t="shared" si="5"/>
        <v>453.87915407854985</v>
      </c>
      <c r="S44" s="22">
        <f t="shared" si="6"/>
        <v>289.30513595166161</v>
      </c>
      <c r="T44" s="22">
        <f t="shared" si="7"/>
        <v>6130</v>
      </c>
      <c r="U44" s="21" t="str">
        <f>[145]Log!$K$2</f>
        <v>339.985.632,47</v>
      </c>
      <c r="V44" s="21" t="str">
        <f>[145]Log!$J$2</f>
        <v>88.973.415,72</v>
      </c>
      <c r="W44" s="21" t="str">
        <f>[145]Log!$N$2</f>
        <v>35.380.701,91</v>
      </c>
      <c r="X44" s="23">
        <f t="shared" si="8"/>
        <v>0</v>
      </c>
      <c r="Y44" s="22"/>
      <c r="Z44" s="24">
        <f t="shared" si="9"/>
        <v>42469.301718365532</v>
      </c>
      <c r="AA44" s="22">
        <f>'[145]Arc Results'!$I$15</f>
        <v>108.48942598187311</v>
      </c>
      <c r="AB44" s="22">
        <f>'[145]Arc Results'!$I$26</f>
        <v>180.81570996978851</v>
      </c>
      <c r="AC44" s="22">
        <f>'[145]Arc Results'!$I$48</f>
        <v>562.34592145015108</v>
      </c>
      <c r="AD44" s="22">
        <f>'[145]Arc Results'!$I$59</f>
        <v>798.46752265861028</v>
      </c>
      <c r="AE44" s="22">
        <f>'[145]Arc Results'!$I$114</f>
        <v>216.95468277945619</v>
      </c>
      <c r="AF44" s="22">
        <f>'[145]Arc Results'!$I$125</f>
        <v>236.92447129909365</v>
      </c>
      <c r="AG44" s="22">
        <f>'[145]Arc Results'!$I$147</f>
        <v>2782.1374622356498</v>
      </c>
      <c r="AH44" s="22">
        <f>'[145]Arc Results'!$I$158</f>
        <v>2806.8957703927495</v>
      </c>
      <c r="AI44" s="22">
        <f>'[145]Arc Results'!$I$213</f>
        <v>4331.8126888217521</v>
      </c>
      <c r="AJ44" s="22">
        <f>'[145]Arc Results'!$I$224</f>
        <v>4553.0211480362541</v>
      </c>
      <c r="AK44" s="22">
        <f>'[145]Arc Results'!$I$180</f>
        <v>3063</v>
      </c>
      <c r="AL44" s="22">
        <f>'[145]Arc Results'!$I$191</f>
        <v>3066.9999999999995</v>
      </c>
      <c r="AM44" s="22">
        <f>'[145]Arc Results'!$I$81</f>
        <v>2768.7960725075527</v>
      </c>
      <c r="AN44" s="22">
        <f>'[145]Arc Results'!$I$81</f>
        <v>2768.7960725075527</v>
      </c>
      <c r="AP44" s="9">
        <f t="shared" si="10"/>
        <v>1.25</v>
      </c>
      <c r="AQ44" s="9">
        <f t="shared" si="11"/>
        <v>1.1735150414854274</v>
      </c>
      <c r="AR44" s="9">
        <f t="shared" si="12"/>
        <v>1.0439980297402718</v>
      </c>
      <c r="AS44" s="9">
        <f t="shared" si="13"/>
        <v>1.0044298015643498</v>
      </c>
      <c r="AT44" s="9">
        <f t="shared" si="14"/>
        <v>1.0248973096488128</v>
      </c>
      <c r="AU44" s="9">
        <f t="shared" si="15"/>
        <v>1.0006525285481238</v>
      </c>
      <c r="AV44" s="9">
        <f t="shared" si="16"/>
        <v>1</v>
      </c>
    </row>
    <row r="45" spans="1:48" ht="15.75">
      <c r="A45">
        <f t="shared" si="17"/>
        <v>41</v>
      </c>
      <c r="B45" s="9">
        <v>2020</v>
      </c>
      <c r="C45" s="9" t="s">
        <v>89</v>
      </c>
      <c r="D45" s="9" t="s">
        <v>88</v>
      </c>
      <c r="E45" s="7" t="s">
        <v>6</v>
      </c>
      <c r="F45" s="20" t="s">
        <v>76</v>
      </c>
      <c r="G45" s="7" t="s">
        <v>8</v>
      </c>
      <c r="H45" s="7" t="s">
        <v>9</v>
      </c>
      <c r="I45" s="9" t="s">
        <v>45</v>
      </c>
      <c r="J45" s="9">
        <v>500</v>
      </c>
      <c r="K45" s="9">
        <v>0.8</v>
      </c>
      <c r="L45" s="21">
        <f>'[146]Arc Results'!$I$10960+'[146]Arc Results'!$I$10971+'[146]Arc Results'!$I$10982+'[146]Arc Results'!$I$10993+'[146]Arc Results'!$I$11004+'[146]Arc Results'!$I$11015+'[146]Arc Results'!$I$11026+'[146]Arc Results'!$I$11037+'[146]Arc Results'!$I$11048+'[146]Arc Results'!$I$11059+'[146]Arc Results'!$I$11070+'[146]Arc Results'!$I$11081+'[146]Arc Results'!$I$11092+'[146]Arc Results'!$I$11103+'[146]Arc Results'!$I$11114+'[146]Arc Results'!$I$11125+'[146]Arc Results'!$I$11136+'[146]Arc Results'!$I$11147+'[146]Arc Results'!$I$11158+'[146]Arc Results'!$I$11169+'[146]Arc Results'!$I$11180+'[146]Arc Results'!$I$11191+'[146]Arc Results'!$I$11202+'[146]Arc Results'!$I$11213+'[146]Arc Results'!$I$11224+'[146]Arc Results'!$I$11235+'[146]Arc Results'!$I$11246+'[146]Arc Results'!$I$11257+'[146]Arc Results'!$I$11268</f>
        <v>3062.7278817300503</v>
      </c>
      <c r="M45" s="21">
        <f>'[146]Arc Results'!$I$257</f>
        <v>14223.84476972505</v>
      </c>
      <c r="N45" s="21">
        <f t="shared" si="1"/>
        <v>6124.0000000000055</v>
      </c>
      <c r="O45" s="21">
        <f t="shared" si="2"/>
        <v>8774.2296072507561</v>
      </c>
      <c r="P45" s="22">
        <f t="shared" si="3"/>
        <v>5310.1941087613295</v>
      </c>
      <c r="Q45" s="22">
        <f t="shared" si="4"/>
        <v>1262.0308588963851</v>
      </c>
      <c r="R45" s="22">
        <f t="shared" si="5"/>
        <v>443.89425981873109</v>
      </c>
      <c r="S45" s="22">
        <f t="shared" si="6"/>
        <v>253.1419939577039</v>
      </c>
      <c r="T45" s="22">
        <f t="shared" si="7"/>
        <v>6130</v>
      </c>
      <c r="U45" s="21" t="str">
        <f>[146]Log!$K$2</f>
        <v>322.393.651,59</v>
      </c>
      <c r="V45" s="21" t="str">
        <f>[146]Log!$J$2</f>
        <v>88.973.415,72</v>
      </c>
      <c r="W45" s="21" t="str">
        <f>[146]Log!$N$2</f>
        <v>35.380.701,91</v>
      </c>
      <c r="X45" s="23">
        <f t="shared" si="8"/>
        <v>0</v>
      </c>
      <c r="Y45" s="22"/>
      <c r="Z45" s="24">
        <f t="shared" si="9"/>
        <v>42521.335598409954</v>
      </c>
      <c r="AA45" s="22">
        <f>'[146]Arc Results'!$I$15</f>
        <v>90.407854984894257</v>
      </c>
      <c r="AB45" s="22">
        <f>'[146]Arc Results'!$I$26</f>
        <v>162.73413897280966</v>
      </c>
      <c r="AC45" s="22">
        <f>'[146]Arc Results'!$I$48</f>
        <v>515.1216012084592</v>
      </c>
      <c r="AD45" s="22">
        <f>'[146]Arc Results'!$I$59</f>
        <v>746.9092576879259</v>
      </c>
      <c r="AE45" s="22">
        <f>'[146]Arc Results'!$I$114</f>
        <v>211.96223564954681</v>
      </c>
      <c r="AF45" s="22">
        <f>'[146]Arc Results'!$I$125</f>
        <v>231.93202416918427</v>
      </c>
      <c r="AG45" s="22">
        <f>'[146]Arc Results'!$I$147</f>
        <v>2876.5285120845924</v>
      </c>
      <c r="AH45" s="22">
        <f>'[146]Arc Results'!$I$158</f>
        <v>3247.4714879154135</v>
      </c>
      <c r="AI45" s="22">
        <f>'[146]Arc Results'!$I$213</f>
        <v>4276.510574018127</v>
      </c>
      <c r="AJ45" s="22">
        <f>'[146]Arc Results'!$I$224</f>
        <v>4497.7190332326281</v>
      </c>
      <c r="AK45" s="22">
        <f>'[146]Arc Results'!$I$180</f>
        <v>3063</v>
      </c>
      <c r="AL45" s="22">
        <f>'[146]Arc Results'!$I$191</f>
        <v>3067.0000000000005</v>
      </c>
      <c r="AM45" s="22">
        <f>'[146]Arc Results'!$I$81</f>
        <v>2655.0970543806648</v>
      </c>
      <c r="AN45" s="22">
        <f>'[146]Arc Results'!$I$81</f>
        <v>2655.0970543806648</v>
      </c>
      <c r="AP45" s="9">
        <f t="shared" si="10"/>
        <v>1.2857142857142858</v>
      </c>
      <c r="AQ45" s="9">
        <f t="shared" si="11"/>
        <v>1.183662431742881</v>
      </c>
      <c r="AR45" s="9">
        <f t="shared" si="12"/>
        <v>1.0449877151549387</v>
      </c>
      <c r="AS45" s="9">
        <f t="shared" si="13"/>
        <v>1.0605720078103889</v>
      </c>
      <c r="AT45" s="9">
        <f t="shared" si="14"/>
        <v>1.0252111546102807</v>
      </c>
      <c r="AU45" s="9">
        <f t="shared" si="15"/>
        <v>1.000652528548124</v>
      </c>
      <c r="AV45" s="9">
        <f t="shared" si="16"/>
        <v>1</v>
      </c>
    </row>
    <row r="46" spans="1:48" ht="15.75">
      <c r="A46">
        <f t="shared" si="17"/>
        <v>42</v>
      </c>
      <c r="B46" s="9">
        <v>2020</v>
      </c>
      <c r="C46" s="9" t="s">
        <v>89</v>
      </c>
      <c r="D46" s="9" t="s">
        <v>88</v>
      </c>
      <c r="E46" s="7" t="s">
        <v>6</v>
      </c>
      <c r="F46" s="20" t="s">
        <v>77</v>
      </c>
      <c r="G46" s="7" t="s">
        <v>8</v>
      </c>
      <c r="H46" s="7" t="s">
        <v>9</v>
      </c>
      <c r="I46" s="9" t="s">
        <v>45</v>
      </c>
      <c r="J46" s="9">
        <v>500</v>
      </c>
      <c r="K46" s="9">
        <v>0.8</v>
      </c>
      <c r="L46" s="21">
        <f>'[147]Arc Results'!$I$10960+'[147]Arc Results'!$I$10971+'[147]Arc Results'!$I$10982+'[147]Arc Results'!$I$10993+'[147]Arc Results'!$I$11004+'[147]Arc Results'!$I$11015+'[147]Arc Results'!$I$11026+'[147]Arc Results'!$I$11037+'[147]Arc Results'!$I$11048+'[147]Arc Results'!$I$11059+'[147]Arc Results'!$I$11070+'[147]Arc Results'!$I$11081+'[147]Arc Results'!$I$11092+'[147]Arc Results'!$I$11103+'[147]Arc Results'!$I$11114+'[147]Arc Results'!$I$11125+'[147]Arc Results'!$I$11136+'[147]Arc Results'!$I$11147+'[147]Arc Results'!$I$11158+'[147]Arc Results'!$I$11169+'[147]Arc Results'!$I$11180+'[147]Arc Results'!$I$11191+'[147]Arc Results'!$I$11202+'[147]Arc Results'!$I$11213+'[147]Arc Results'!$I$11224+'[147]Arc Results'!$I$11235+'[147]Arc Results'!$I$11246+'[147]Arc Results'!$I$11257+'[147]Arc Results'!$I$11268</f>
        <v>3138.9000494037614</v>
      </c>
      <c r="M46" s="21">
        <f>'[147]Arc Results'!$I$257</f>
        <v>14223.844769725041</v>
      </c>
      <c r="N46" s="21">
        <f t="shared" si="1"/>
        <v>5490.0000000000036</v>
      </c>
      <c r="O46" s="21">
        <f t="shared" si="2"/>
        <v>11503.999999999995</v>
      </c>
      <c r="P46" s="22">
        <f t="shared" si="3"/>
        <v>4628</v>
      </c>
      <c r="Q46" s="22">
        <f t="shared" si="4"/>
        <v>630.2869011924555</v>
      </c>
      <c r="R46" s="22">
        <f t="shared" si="5"/>
        <v>374.00000000000023</v>
      </c>
      <c r="S46" s="22">
        <f t="shared" si="6"/>
        <v>0</v>
      </c>
      <c r="T46" s="22">
        <f t="shared" si="7"/>
        <v>6126</v>
      </c>
      <c r="U46" s="21" t="str">
        <f>[147]Log!$K$2</f>
        <v>309.148.721,81</v>
      </c>
      <c r="V46" s="21" t="str">
        <f>[147]Log!$J$2</f>
        <v>88.973.415,72</v>
      </c>
      <c r="W46" s="21" t="str">
        <f>[147]Log!$N$2</f>
        <v>35.380.701,91</v>
      </c>
      <c r="X46" s="23">
        <f t="shared" si="8"/>
        <v>0</v>
      </c>
      <c r="Y46" s="22"/>
      <c r="Z46" s="24">
        <f t="shared" si="9"/>
        <v>42976.131670917493</v>
      </c>
      <c r="AA46" s="22">
        <f>'[147]Arc Results'!$I$15</f>
        <v>0</v>
      </c>
      <c r="AB46" s="22">
        <f>'[147]Arc Results'!$I$26</f>
        <v>0</v>
      </c>
      <c r="AC46" s="22">
        <f>'[147]Arc Results'!$I$48</f>
        <v>279</v>
      </c>
      <c r="AD46" s="22">
        <f>'[147]Arc Results'!$I$59</f>
        <v>351.2869011924555</v>
      </c>
      <c r="AE46" s="22">
        <f>'[147]Arc Results'!$I$114</f>
        <v>187</v>
      </c>
      <c r="AF46" s="22">
        <f>'[147]Arc Results'!$I$125</f>
        <v>187.0000000000002</v>
      </c>
      <c r="AG46" s="22">
        <f>'[147]Arc Results'!$I$147</f>
        <v>2745</v>
      </c>
      <c r="AH46" s="22">
        <f>'[147]Arc Results'!$I$158</f>
        <v>2745.0000000000036</v>
      </c>
      <c r="AI46" s="22">
        <f>'[147]Arc Results'!$I$213</f>
        <v>5176.7999999999938</v>
      </c>
      <c r="AJ46" s="22">
        <f>'[147]Arc Results'!$I$224</f>
        <v>6327.2000000000007</v>
      </c>
      <c r="AK46" s="22">
        <f>'[147]Arc Results'!$I$180</f>
        <v>3063</v>
      </c>
      <c r="AL46" s="22">
        <f>'[147]Arc Results'!$I$191</f>
        <v>3063.0000000000005</v>
      </c>
      <c r="AM46" s="22">
        <f>'[147]Arc Results'!$I$81</f>
        <v>2314</v>
      </c>
      <c r="AN46" s="22">
        <f>'[147]Arc Results'!$I$81</f>
        <v>2314</v>
      </c>
      <c r="AP46" s="9" t="e">
        <f t="shared" si="10"/>
        <v>#DIV/0!</v>
      </c>
      <c r="AQ46" s="9">
        <f t="shared" si="11"/>
        <v>1.1146888838332101</v>
      </c>
      <c r="AR46" s="9">
        <f t="shared" si="12"/>
        <v>1.0000000000000004</v>
      </c>
      <c r="AS46" s="9">
        <f t="shared" si="13"/>
        <v>1.0000000000000007</v>
      </c>
      <c r="AT46" s="9">
        <f t="shared" si="14"/>
        <v>1.1000000000000008</v>
      </c>
      <c r="AU46" s="9">
        <f t="shared" si="15"/>
        <v>1.0000000000000002</v>
      </c>
      <c r="AV46" s="9">
        <f t="shared" si="16"/>
        <v>1</v>
      </c>
    </row>
    <row r="47" spans="1:48" ht="15.75">
      <c r="A47">
        <f t="shared" si="17"/>
        <v>43</v>
      </c>
      <c r="B47" s="9">
        <v>2020</v>
      </c>
      <c r="C47" s="9" t="s">
        <v>89</v>
      </c>
      <c r="D47" s="9" t="s">
        <v>88</v>
      </c>
      <c r="E47" s="7" t="s">
        <v>6</v>
      </c>
      <c r="F47" s="20" t="s">
        <v>78</v>
      </c>
      <c r="G47" s="7" t="s">
        <v>8</v>
      </c>
      <c r="H47" s="7" t="s">
        <v>9</v>
      </c>
      <c r="I47" s="9" t="s">
        <v>45</v>
      </c>
      <c r="J47" s="9">
        <v>500</v>
      </c>
      <c r="K47" s="9">
        <v>0.8</v>
      </c>
      <c r="L47" s="21">
        <f>'[148]Arc Results'!$I$10960+'[148]Arc Results'!$I$10971+'[148]Arc Results'!$I$10982+'[148]Arc Results'!$I$10993+'[148]Arc Results'!$I$11004+'[148]Arc Results'!$I$11015+'[148]Arc Results'!$I$11026+'[148]Arc Results'!$I$11037+'[148]Arc Results'!$I$11048+'[148]Arc Results'!$I$11059+'[148]Arc Results'!$I$11070+'[148]Arc Results'!$I$11081+'[148]Arc Results'!$I$11092+'[148]Arc Results'!$I$11103+'[148]Arc Results'!$I$11114+'[148]Arc Results'!$I$11125+'[148]Arc Results'!$I$11136+'[148]Arc Results'!$I$11147+'[148]Arc Results'!$I$11158+'[148]Arc Results'!$I$11169+'[148]Arc Results'!$I$11180+'[148]Arc Results'!$I$11191+'[148]Arc Results'!$I$11202+'[148]Arc Results'!$I$11213+'[148]Arc Results'!$I$11224+'[148]Arc Results'!$I$11235+'[148]Arc Results'!$I$11246+'[148]Arc Results'!$I$11257+'[148]Arc Results'!$I$11268</f>
        <v>3406.5303607170681</v>
      </c>
      <c r="M47" s="21">
        <f>'[148]Arc Results'!$I$257</f>
        <v>14223.844769725034</v>
      </c>
      <c r="N47" s="21">
        <f t="shared" si="1"/>
        <v>5490</v>
      </c>
      <c r="O47" s="21">
        <f t="shared" si="2"/>
        <v>8000.0000000000045</v>
      </c>
      <c r="P47" s="22">
        <f t="shared" si="3"/>
        <v>7516.8606226266029</v>
      </c>
      <c r="Q47" s="22">
        <f t="shared" si="4"/>
        <v>558</v>
      </c>
      <c r="R47" s="22">
        <f t="shared" si="5"/>
        <v>374.00000000000011</v>
      </c>
      <c r="S47" s="22">
        <f t="shared" si="6"/>
        <v>0</v>
      </c>
      <c r="T47" s="22">
        <f t="shared" si="7"/>
        <v>6126</v>
      </c>
      <c r="U47" s="21" t="str">
        <f>[148]Log!$K$2</f>
        <v>317.256.212,57</v>
      </c>
      <c r="V47" s="21" t="str">
        <f>[148]Log!$J$2</f>
        <v>88.973.415,72</v>
      </c>
      <c r="W47" s="21" t="str">
        <f>[148]Log!$N$2</f>
        <v>35.380.701,91</v>
      </c>
      <c r="X47" s="23">
        <f t="shared" si="8"/>
        <v>0</v>
      </c>
      <c r="Y47" s="22"/>
      <c r="Z47" s="24">
        <f t="shared" si="9"/>
        <v>42288.705392351643</v>
      </c>
      <c r="AA47" s="22">
        <f>'[148]Arc Results'!$I$15</f>
        <v>0</v>
      </c>
      <c r="AB47" s="22">
        <f>'[148]Arc Results'!$I$26</f>
        <v>0</v>
      </c>
      <c r="AC47" s="22">
        <f>'[148]Arc Results'!$I$48</f>
        <v>279</v>
      </c>
      <c r="AD47" s="22">
        <f>'[148]Arc Results'!$I$59</f>
        <v>279</v>
      </c>
      <c r="AE47" s="22">
        <f>'[148]Arc Results'!$I$114</f>
        <v>187</v>
      </c>
      <c r="AF47" s="22">
        <f>'[148]Arc Results'!$I$125</f>
        <v>187.00000000000014</v>
      </c>
      <c r="AG47" s="22">
        <f>'[148]Arc Results'!$I$147</f>
        <v>2745</v>
      </c>
      <c r="AH47" s="22">
        <f>'[148]Arc Results'!$I$158</f>
        <v>2745</v>
      </c>
      <c r="AI47" s="22">
        <f>'[148]Arc Results'!$I$213</f>
        <v>4000</v>
      </c>
      <c r="AJ47" s="22">
        <f>'[148]Arc Results'!$I$224</f>
        <v>4000.0000000000045</v>
      </c>
      <c r="AK47" s="22">
        <f>'[148]Arc Results'!$I$180</f>
        <v>3063</v>
      </c>
      <c r="AL47" s="22">
        <f>'[148]Arc Results'!$I$191</f>
        <v>3063</v>
      </c>
      <c r="AM47" s="22">
        <f>'[148]Arc Results'!$I$81</f>
        <v>3758.4303113133014</v>
      </c>
      <c r="AN47" s="22">
        <f>'[148]Arc Results'!$I$81</f>
        <v>3758.4303113133014</v>
      </c>
      <c r="AP47" s="9" t="e">
        <f t="shared" si="10"/>
        <v>#DIV/0!</v>
      </c>
      <c r="AQ47" s="9">
        <f t="shared" si="11"/>
        <v>1</v>
      </c>
      <c r="AR47" s="9">
        <f t="shared" si="12"/>
        <v>1.0000000000000004</v>
      </c>
      <c r="AS47" s="9">
        <f t="shared" si="13"/>
        <v>1</v>
      </c>
      <c r="AT47" s="9">
        <f t="shared" si="14"/>
        <v>1.0000000000000007</v>
      </c>
      <c r="AU47" s="9">
        <f t="shared" si="15"/>
        <v>1</v>
      </c>
      <c r="AV47" s="9">
        <f t="shared" si="16"/>
        <v>1</v>
      </c>
    </row>
    <row r="48" spans="1:48" ht="15.75">
      <c r="A48">
        <f t="shared" si="17"/>
        <v>44</v>
      </c>
      <c r="B48" s="9">
        <v>2020</v>
      </c>
      <c r="C48" s="9" t="s">
        <v>89</v>
      </c>
      <c r="D48" s="9" t="s">
        <v>88</v>
      </c>
      <c r="E48" s="7" t="s">
        <v>6</v>
      </c>
      <c r="F48" s="20" t="s">
        <v>79</v>
      </c>
      <c r="G48" s="7" t="s">
        <v>8</v>
      </c>
      <c r="H48" s="7" t="s">
        <v>9</v>
      </c>
      <c r="I48" s="9" t="s">
        <v>45</v>
      </c>
      <c r="J48" s="9">
        <v>500</v>
      </c>
      <c r="K48" s="9">
        <v>0.8</v>
      </c>
      <c r="L48" s="21">
        <f>'[149]Arc Results'!$I$10960+'[149]Arc Results'!$I$10971+'[149]Arc Results'!$I$10982+'[149]Arc Results'!$I$10993+'[149]Arc Results'!$I$11004+'[149]Arc Results'!$I$11015+'[149]Arc Results'!$I$11026+'[149]Arc Results'!$I$11037+'[149]Arc Results'!$I$11048+'[149]Arc Results'!$I$11059+'[149]Arc Results'!$I$11070+'[149]Arc Results'!$I$11081+'[149]Arc Results'!$I$11092+'[149]Arc Results'!$I$11103+'[149]Arc Results'!$I$11114+'[149]Arc Results'!$I$11125+'[149]Arc Results'!$I$11136+'[149]Arc Results'!$I$11147+'[149]Arc Results'!$I$11158+'[149]Arc Results'!$I$11169+'[149]Arc Results'!$I$11180+'[149]Arc Results'!$I$11191+'[149]Arc Results'!$I$11202+'[149]Arc Results'!$I$11213+'[149]Arc Results'!$I$11224+'[149]Arc Results'!$I$11235+'[149]Arc Results'!$I$11246+'[149]Arc Results'!$I$11257+'[149]Arc Results'!$I$11268</f>
        <v>3206.7393998569387</v>
      </c>
      <c r="M48" s="21">
        <f>'[149]Arc Results'!$I$257</f>
        <v>14223.844769725043</v>
      </c>
      <c r="N48" s="21">
        <f t="shared" si="1"/>
        <v>5576.6540785498491</v>
      </c>
      <c r="O48" s="21">
        <f t="shared" si="2"/>
        <v>8786.6845598027357</v>
      </c>
      <c r="P48" s="22">
        <f t="shared" si="3"/>
        <v>5310.1941087613295</v>
      </c>
      <c r="Q48" s="22">
        <f t="shared" si="4"/>
        <v>1266.3648036253776</v>
      </c>
      <c r="R48" s="22">
        <f t="shared" si="5"/>
        <v>443.89425981873109</v>
      </c>
      <c r="S48" s="22">
        <f t="shared" si="6"/>
        <v>670</v>
      </c>
      <c r="T48" s="22">
        <f t="shared" si="7"/>
        <v>6130</v>
      </c>
      <c r="U48" s="21" t="str">
        <f>[149]Log!$K$2</f>
        <v>338.106.304,34</v>
      </c>
      <c r="V48" s="21" t="str">
        <f>[149]Log!$J$2</f>
        <v>88.973.415,72</v>
      </c>
      <c r="W48" s="21" t="str">
        <f>[149]Log!$N$2</f>
        <v>35.380.701,91</v>
      </c>
      <c r="X48" s="23">
        <f t="shared" si="8"/>
        <v>0</v>
      </c>
      <c r="Y48" s="22"/>
      <c r="Z48" s="24">
        <f t="shared" si="9"/>
        <v>42407.636580283062</v>
      </c>
      <c r="AA48" s="22">
        <f>'[149]Arc Results'!$I$15</f>
        <v>335</v>
      </c>
      <c r="AB48" s="22">
        <f>'[149]Arc Results'!$I$26</f>
        <v>335</v>
      </c>
      <c r="AC48" s="22">
        <f>'[149]Arc Results'!$I$48</f>
        <v>515.1216012084592</v>
      </c>
      <c r="AD48" s="22">
        <f>'[149]Arc Results'!$I$59</f>
        <v>751.24320241691839</v>
      </c>
      <c r="AE48" s="22">
        <f>'[149]Arc Results'!$I$114</f>
        <v>211.96223564954681</v>
      </c>
      <c r="AF48" s="22">
        <f>'[149]Arc Results'!$I$125</f>
        <v>231.93202416918427</v>
      </c>
      <c r="AG48" s="22">
        <f>'[149]Arc Results'!$I$147</f>
        <v>2775.9478851963745</v>
      </c>
      <c r="AH48" s="22">
        <f>'[149]Arc Results'!$I$158</f>
        <v>2800.7061933534742</v>
      </c>
      <c r="AI48" s="22">
        <f>'[149]Arc Results'!$I$213</f>
        <v>4276.510574018127</v>
      </c>
      <c r="AJ48" s="22">
        <f>'[149]Arc Results'!$I$224</f>
        <v>4510.1739857846096</v>
      </c>
      <c r="AK48" s="22">
        <f>'[149]Arc Results'!$I$180</f>
        <v>3063</v>
      </c>
      <c r="AL48" s="22">
        <f>'[149]Arc Results'!$I$191</f>
        <v>3067.0000000000005</v>
      </c>
      <c r="AM48" s="22">
        <f>'[149]Arc Results'!$I$81</f>
        <v>2655.0970543806648</v>
      </c>
      <c r="AN48" s="22">
        <f>'[149]Arc Results'!$I$81</f>
        <v>2655.0970543806648</v>
      </c>
      <c r="AP48" s="9">
        <f t="shared" si="10"/>
        <v>1</v>
      </c>
      <c r="AQ48" s="9">
        <f t="shared" si="11"/>
        <v>1.1864562253566153</v>
      </c>
      <c r="AR48" s="9">
        <f t="shared" si="12"/>
        <v>1.0449877151549387</v>
      </c>
      <c r="AS48" s="9">
        <f t="shared" si="13"/>
        <v>1.0044396349151958</v>
      </c>
      <c r="AT48" s="9">
        <f t="shared" si="14"/>
        <v>1.0265928986270254</v>
      </c>
      <c r="AU48" s="9">
        <f t="shared" si="15"/>
        <v>1.000652528548124</v>
      </c>
      <c r="AV48" s="9">
        <f t="shared" si="16"/>
        <v>1</v>
      </c>
    </row>
    <row r="49" spans="1:48" ht="15.75">
      <c r="A49">
        <f t="shared" si="17"/>
        <v>45</v>
      </c>
      <c r="B49" s="9">
        <v>2020</v>
      </c>
      <c r="C49" s="9" t="s">
        <v>89</v>
      </c>
      <c r="D49" s="9" t="s">
        <v>88</v>
      </c>
      <c r="E49" s="7" t="s">
        <v>6</v>
      </c>
      <c r="F49" s="20" t="s">
        <v>80</v>
      </c>
      <c r="G49" s="7" t="s">
        <v>8</v>
      </c>
      <c r="H49" s="7" t="s">
        <v>9</v>
      </c>
      <c r="I49" s="9" t="s">
        <v>45</v>
      </c>
      <c r="J49" s="9">
        <v>500</v>
      </c>
      <c r="K49" s="9">
        <v>0.8</v>
      </c>
      <c r="L49" s="21">
        <f>'[150]Arc Results'!$I$10960+'[150]Arc Results'!$I$10971+'[150]Arc Results'!$I$10982+'[150]Arc Results'!$I$10993+'[150]Arc Results'!$I$11004+'[150]Arc Results'!$I$11015+'[150]Arc Results'!$I$11026+'[150]Arc Results'!$I$11037+'[150]Arc Results'!$I$11048+'[150]Arc Results'!$I$11059+'[150]Arc Results'!$I$11070+'[150]Arc Results'!$I$11081+'[150]Arc Results'!$I$11092+'[150]Arc Results'!$I$11103+'[150]Arc Results'!$I$11114+'[150]Arc Results'!$I$11125+'[150]Arc Results'!$I$11136+'[150]Arc Results'!$I$11147+'[150]Arc Results'!$I$11158+'[150]Arc Results'!$I$11169+'[150]Arc Results'!$I$11180+'[150]Arc Results'!$I$11191+'[150]Arc Results'!$I$11202+'[150]Arc Results'!$I$11213+'[150]Arc Results'!$I$11224+'[150]Arc Results'!$I$11235+'[150]Arc Results'!$I$11246+'[150]Arc Results'!$I$11257+'[150]Arc Results'!$I$11268</f>
        <v>3216.6657593735522</v>
      </c>
      <c r="M49" s="21">
        <f>'[150]Arc Results'!$I$257</f>
        <v>14223.844769725039</v>
      </c>
      <c r="N49" s="21">
        <f t="shared" si="1"/>
        <v>5527.1374622356489</v>
      </c>
      <c r="O49" s="21">
        <f t="shared" si="2"/>
        <v>8331.8126888217521</v>
      </c>
      <c r="P49" s="22">
        <f t="shared" si="3"/>
        <v>4628</v>
      </c>
      <c r="Q49" s="22">
        <f t="shared" si="4"/>
        <v>3219.9999999999959</v>
      </c>
      <c r="R49" s="22">
        <f t="shared" si="5"/>
        <v>403.95468277945616</v>
      </c>
      <c r="S49" s="22">
        <f t="shared" si="6"/>
        <v>108.48942598187311</v>
      </c>
      <c r="T49" s="22">
        <f t="shared" si="7"/>
        <v>6126</v>
      </c>
      <c r="U49" s="21" t="str">
        <f>[150]Log!$K$2</f>
        <v>332.354.290,74</v>
      </c>
      <c r="V49" s="21" t="str">
        <f>[150]Log!$J$2</f>
        <v>88.973.415,72</v>
      </c>
      <c r="W49" s="21" t="str">
        <f>[150]Log!$N$2</f>
        <v>35.380.701,91</v>
      </c>
      <c r="X49" s="23">
        <f t="shared" si="8"/>
        <v>0</v>
      </c>
      <c r="Y49" s="22"/>
      <c r="Z49" s="24">
        <f t="shared" si="9"/>
        <v>42569.239029543765</v>
      </c>
      <c r="AA49" s="22">
        <f>'[150]Arc Results'!$I$15</f>
        <v>18.081570996978851</v>
      </c>
      <c r="AB49" s="22">
        <f>'[150]Arc Results'!$I$26</f>
        <v>90.407854984894257</v>
      </c>
      <c r="AC49" s="22">
        <f>'[150]Arc Results'!$I$48</f>
        <v>1448.9999999999957</v>
      </c>
      <c r="AD49" s="22">
        <f>'[150]Arc Results'!$I$59</f>
        <v>1771.0000000000002</v>
      </c>
      <c r="AE49" s="22">
        <f>'[150]Arc Results'!$I$114</f>
        <v>191.99244712990935</v>
      </c>
      <c r="AF49" s="22">
        <f>'[150]Arc Results'!$I$125</f>
        <v>211.96223564954681</v>
      </c>
      <c r="AG49" s="22">
        <f>'[150]Arc Results'!$I$147</f>
        <v>2751.1895770392748</v>
      </c>
      <c r="AH49" s="22">
        <f>'[150]Arc Results'!$I$158</f>
        <v>2775.9478851963745</v>
      </c>
      <c r="AI49" s="22">
        <f>'[150]Arc Results'!$I$213</f>
        <v>4055.3021148036255</v>
      </c>
      <c r="AJ49" s="22">
        <f>'[150]Arc Results'!$I$224</f>
        <v>4276.510574018127</v>
      </c>
      <c r="AK49" s="22">
        <f>'[150]Arc Results'!$I$180</f>
        <v>3063</v>
      </c>
      <c r="AL49" s="22">
        <f>'[150]Arc Results'!$I$191</f>
        <v>3063</v>
      </c>
      <c r="AM49" s="22">
        <f>'[150]Arc Results'!$I$81</f>
        <v>2314</v>
      </c>
      <c r="AN49" s="22">
        <f>'[150]Arc Results'!$I$81</f>
        <v>2314</v>
      </c>
      <c r="AP49" s="9">
        <f t="shared" si="10"/>
        <v>1.6666666666666665</v>
      </c>
      <c r="AQ49" s="9">
        <f t="shared" si="11"/>
        <v>1.1000000000000016</v>
      </c>
      <c r="AR49" s="9">
        <f t="shared" si="12"/>
        <v>1.0494357148733444</v>
      </c>
      <c r="AS49" s="9">
        <f t="shared" si="13"/>
        <v>1.0044794087945637</v>
      </c>
      <c r="AT49" s="9">
        <f t="shared" si="14"/>
        <v>1.0265498598535805</v>
      </c>
      <c r="AU49" s="9">
        <f t="shared" si="15"/>
        <v>1</v>
      </c>
      <c r="AV49" s="9">
        <f t="shared" si="16"/>
        <v>1</v>
      </c>
    </row>
    <row r="50" spans="1:48" ht="15.75">
      <c r="A50">
        <f t="shared" si="17"/>
        <v>46</v>
      </c>
      <c r="B50" s="9">
        <v>2020</v>
      </c>
      <c r="C50" s="9" t="s">
        <v>89</v>
      </c>
      <c r="D50" s="9" t="s">
        <v>88</v>
      </c>
      <c r="E50" s="7" t="s">
        <v>6</v>
      </c>
      <c r="F50" s="20" t="s">
        <v>81</v>
      </c>
      <c r="G50" s="7" t="s">
        <v>8</v>
      </c>
      <c r="H50" s="7" t="s">
        <v>9</v>
      </c>
      <c r="I50" s="9" t="s">
        <v>45</v>
      </c>
      <c r="J50" s="9">
        <v>500</v>
      </c>
      <c r="K50" s="9">
        <v>0.8</v>
      </c>
      <c r="L50" s="21">
        <f>'[151]Arc Results'!$I$10960+'[151]Arc Results'!$I$10971+'[151]Arc Results'!$I$10982+'[151]Arc Results'!$I$10993+'[151]Arc Results'!$I$11004+'[151]Arc Results'!$I$11015+'[151]Arc Results'!$I$11026+'[151]Arc Results'!$I$11037+'[151]Arc Results'!$I$11048+'[151]Arc Results'!$I$11059+'[151]Arc Results'!$I$11070+'[151]Arc Results'!$I$11081+'[151]Arc Results'!$I$11092+'[151]Arc Results'!$I$11103+'[151]Arc Results'!$I$11114+'[151]Arc Results'!$I$11125+'[151]Arc Results'!$I$11136+'[151]Arc Results'!$I$11147+'[151]Arc Results'!$I$11158+'[151]Arc Results'!$I$11169+'[151]Arc Results'!$I$11180+'[151]Arc Results'!$I$11191+'[151]Arc Results'!$I$11202+'[151]Arc Results'!$I$11213+'[151]Arc Results'!$I$11224+'[151]Arc Results'!$I$11235+'[151]Arc Results'!$I$11246+'[151]Arc Results'!$I$11257+'[151]Arc Results'!$I$11268</f>
        <v>3207.5189747654081</v>
      </c>
      <c r="M50" s="21">
        <f>'[151]Arc Results'!$I$257</f>
        <v>14223.844769725049</v>
      </c>
      <c r="N50" s="21">
        <f t="shared" si="1"/>
        <v>5582.843655589124</v>
      </c>
      <c r="O50" s="21">
        <f t="shared" si="2"/>
        <v>8829.5317220543802</v>
      </c>
      <c r="P50" s="22">
        <f t="shared" si="3"/>
        <v>5537.5921450151054</v>
      </c>
      <c r="Q50" s="22">
        <f t="shared" si="4"/>
        <v>1274.2997410716116</v>
      </c>
      <c r="R50" s="22">
        <f t="shared" si="5"/>
        <v>672.00000000000023</v>
      </c>
      <c r="S50" s="22">
        <f t="shared" si="6"/>
        <v>271.22356495468279</v>
      </c>
      <c r="T50" s="22">
        <f t="shared" si="7"/>
        <v>6130</v>
      </c>
      <c r="U50" s="21" t="str">
        <f>[151]Log!$K$2</f>
        <v>338.166.135,85</v>
      </c>
      <c r="V50" s="21" t="str">
        <f>[151]Log!$J$2</f>
        <v>88.973.415,72</v>
      </c>
      <c r="W50" s="21" t="str">
        <f>[151]Log!$N$2</f>
        <v>35.380.701,91</v>
      </c>
      <c r="X50" s="23">
        <f t="shared" si="8"/>
        <v>0</v>
      </c>
      <c r="Y50" s="22"/>
      <c r="Z50" s="24">
        <f t="shared" si="9"/>
        <v>42521.335598409954</v>
      </c>
      <c r="AA50" s="22">
        <f>'[151]Arc Results'!$I$15</f>
        <v>90.407854984894257</v>
      </c>
      <c r="AB50" s="22">
        <f>'[151]Arc Results'!$I$26</f>
        <v>180.81570996978851</v>
      </c>
      <c r="AC50" s="22">
        <f>'[151]Arc Results'!$I$48</f>
        <v>523.0565386546931</v>
      </c>
      <c r="AD50" s="22">
        <f>'[151]Arc Results'!$I$59</f>
        <v>751.24320241691839</v>
      </c>
      <c r="AE50" s="22">
        <f>'[151]Arc Results'!$I$114</f>
        <v>335.70000000000022</v>
      </c>
      <c r="AF50" s="22">
        <f>'[151]Arc Results'!$I$125</f>
        <v>336.3</v>
      </c>
      <c r="AG50" s="22">
        <f>'[151]Arc Results'!$I$147</f>
        <v>2775.9478851963745</v>
      </c>
      <c r="AH50" s="22">
        <f>'[151]Arc Results'!$I$158</f>
        <v>2806.8957703927495</v>
      </c>
      <c r="AI50" s="22">
        <f>'[151]Arc Results'!$I$213</f>
        <v>4276.510574018127</v>
      </c>
      <c r="AJ50" s="22">
        <f>'[151]Arc Results'!$I$224</f>
        <v>4553.0211480362541</v>
      </c>
      <c r="AK50" s="22">
        <f>'[151]Arc Results'!$I$180</f>
        <v>3063</v>
      </c>
      <c r="AL50" s="22">
        <f>'[151]Arc Results'!$I$191</f>
        <v>3067</v>
      </c>
      <c r="AM50" s="22">
        <f>'[151]Arc Results'!$I$81</f>
        <v>2768.7960725075527</v>
      </c>
      <c r="AN50" s="22">
        <f>'[151]Arc Results'!$I$81</f>
        <v>2768.7960725075527</v>
      </c>
      <c r="AP50" s="9">
        <f t="shared" si="10"/>
        <v>1.3333333333333333</v>
      </c>
      <c r="AQ50" s="9">
        <f t="shared" si="11"/>
        <v>1.1790682807251718</v>
      </c>
      <c r="AR50" s="9">
        <f t="shared" si="12"/>
        <v>1.0008928571428568</v>
      </c>
      <c r="AS50" s="9">
        <f t="shared" si="13"/>
        <v>1.0055433909859526</v>
      </c>
      <c r="AT50" s="9">
        <f t="shared" si="14"/>
        <v>1.0313165615938</v>
      </c>
      <c r="AU50" s="9">
        <f t="shared" si="15"/>
        <v>1.000652528548124</v>
      </c>
      <c r="AV50" s="9">
        <f t="shared" si="16"/>
        <v>1</v>
      </c>
    </row>
    <row r="51" spans="1:48" ht="15.75">
      <c r="A51">
        <f t="shared" si="17"/>
        <v>47</v>
      </c>
      <c r="B51" s="9">
        <v>2020</v>
      </c>
      <c r="C51" s="9" t="s">
        <v>89</v>
      </c>
      <c r="D51" s="9" t="s">
        <v>88</v>
      </c>
      <c r="E51" s="7" t="s">
        <v>6</v>
      </c>
      <c r="F51" s="20" t="s">
        <v>82</v>
      </c>
      <c r="G51" s="7" t="s">
        <v>8</v>
      </c>
      <c r="H51" s="7" t="s">
        <v>9</v>
      </c>
      <c r="I51" s="9" t="s">
        <v>45</v>
      </c>
      <c r="J51" s="9">
        <v>500</v>
      </c>
      <c r="K51" s="9">
        <v>0.8</v>
      </c>
      <c r="L51" s="21">
        <f>'[152]Arc Results'!$I$10960+'[152]Arc Results'!$I$10971+'[152]Arc Results'!$I$10982+'[152]Arc Results'!$I$10993+'[152]Arc Results'!$I$11004+'[152]Arc Results'!$I$11015+'[152]Arc Results'!$I$11026+'[152]Arc Results'!$I$11037+'[152]Arc Results'!$I$11048+'[152]Arc Results'!$I$11059+'[152]Arc Results'!$I$11070+'[152]Arc Results'!$I$11081+'[152]Arc Results'!$I$11092+'[152]Arc Results'!$I$11103+'[152]Arc Results'!$I$11114+'[152]Arc Results'!$I$11125+'[152]Arc Results'!$I$11136+'[152]Arc Results'!$I$11147+'[152]Arc Results'!$I$11158+'[152]Arc Results'!$I$11169+'[152]Arc Results'!$I$11180+'[152]Arc Results'!$I$11191+'[152]Arc Results'!$I$11202+'[152]Arc Results'!$I$11213+'[152]Arc Results'!$I$11224+'[152]Arc Results'!$I$11235+'[152]Arc Results'!$I$11246+'[152]Arc Results'!$I$11257+'[152]Arc Results'!$I$11268</f>
        <v>3170.4988409445514</v>
      </c>
      <c r="M51" s="21">
        <f>'[152]Arc Results'!$I$257</f>
        <v>14223.844769725047</v>
      </c>
      <c r="N51" s="21">
        <f t="shared" si="1"/>
        <v>5490</v>
      </c>
      <c r="O51" s="21">
        <f t="shared" si="2"/>
        <v>8922.2019314039462</v>
      </c>
      <c r="P51" s="22">
        <f t="shared" si="3"/>
        <v>5537.5921450151054</v>
      </c>
      <c r="Q51" s="22">
        <f t="shared" si="4"/>
        <v>1360.8134441087614</v>
      </c>
      <c r="R51" s="22">
        <f t="shared" si="5"/>
        <v>453.87915407854985</v>
      </c>
      <c r="S51" s="22">
        <f t="shared" si="6"/>
        <v>289.30513595166161</v>
      </c>
      <c r="T51" s="22">
        <f t="shared" si="7"/>
        <v>6130</v>
      </c>
      <c r="U51" s="21" t="str">
        <f>[152]Log!$K$2</f>
        <v>356.417.712,38</v>
      </c>
      <c r="V51" s="21" t="str">
        <f>[152]Log!$J$2</f>
        <v>88.973.415,72</v>
      </c>
      <c r="W51" s="21" t="str">
        <f>[152]Log!$N$2</f>
        <v>35.380.701,91</v>
      </c>
      <c r="X51" s="23">
        <f t="shared" si="8"/>
        <v>0</v>
      </c>
      <c r="Y51" s="22"/>
      <c r="Z51" s="24">
        <f t="shared" si="9"/>
        <v>42407.63658028307</v>
      </c>
      <c r="AA51" s="22">
        <f>'[152]Arc Results'!$I$15</f>
        <v>108.48942598187311</v>
      </c>
      <c r="AB51" s="22">
        <f>'[152]Arc Results'!$I$26</f>
        <v>180.81570996978851</v>
      </c>
      <c r="AC51" s="22">
        <f>'[152]Arc Results'!$I$48</f>
        <v>562.34592145015108</v>
      </c>
      <c r="AD51" s="22">
        <f>'[152]Arc Results'!$I$59</f>
        <v>798.46752265861028</v>
      </c>
      <c r="AE51" s="22">
        <f>'[152]Arc Results'!$I$114</f>
        <v>216.95468277945619</v>
      </c>
      <c r="AF51" s="22">
        <f>'[152]Arc Results'!$I$125</f>
        <v>236.92447129909365</v>
      </c>
      <c r="AG51" s="22">
        <f>'[152]Arc Results'!$I$147</f>
        <v>2745</v>
      </c>
      <c r="AH51" s="22">
        <f>'[152]Arc Results'!$I$158</f>
        <v>2745</v>
      </c>
      <c r="AI51" s="22">
        <f>'[152]Arc Results'!$I$213</f>
        <v>4331.8126888217521</v>
      </c>
      <c r="AJ51" s="22">
        <f>'[152]Arc Results'!$I$224</f>
        <v>4590.389242582195</v>
      </c>
      <c r="AK51" s="22">
        <f>'[152]Arc Results'!$I$180</f>
        <v>3063</v>
      </c>
      <c r="AL51" s="22">
        <f>'[152]Arc Results'!$I$191</f>
        <v>3067</v>
      </c>
      <c r="AM51" s="22">
        <f>'[152]Arc Results'!$I$81</f>
        <v>2768.7960725075527</v>
      </c>
      <c r="AN51" s="22">
        <f>'[152]Arc Results'!$I$81</f>
        <v>2768.7960725075527</v>
      </c>
      <c r="AP51" s="9">
        <f t="shared" si="10"/>
        <v>1.25</v>
      </c>
      <c r="AQ51" s="9">
        <f t="shared" si="11"/>
        <v>1.1735150414854274</v>
      </c>
      <c r="AR51" s="9">
        <f t="shared" si="12"/>
        <v>1.0439980297402718</v>
      </c>
      <c r="AS51" s="9">
        <f t="shared" si="13"/>
        <v>1</v>
      </c>
      <c r="AT51" s="9">
        <f t="shared" si="14"/>
        <v>1.0289812487711489</v>
      </c>
      <c r="AU51" s="9">
        <f t="shared" si="15"/>
        <v>1.000652528548124</v>
      </c>
      <c r="AV51" s="9">
        <f t="shared" si="16"/>
        <v>1</v>
      </c>
    </row>
    <row r="52" spans="1:48" ht="15.75">
      <c r="A52">
        <f t="shared" si="17"/>
        <v>48</v>
      </c>
      <c r="B52" s="9">
        <v>2020</v>
      </c>
      <c r="C52" s="9" t="s">
        <v>89</v>
      </c>
      <c r="D52" s="9" t="s">
        <v>88</v>
      </c>
      <c r="E52" s="7" t="s">
        <v>6</v>
      </c>
      <c r="F52" s="20" t="s">
        <v>83</v>
      </c>
      <c r="G52" s="7" t="s">
        <v>8</v>
      </c>
      <c r="H52" s="7" t="s">
        <v>9</v>
      </c>
      <c r="I52" s="9" t="s">
        <v>45</v>
      </c>
      <c r="J52" s="9">
        <v>500</v>
      </c>
      <c r="K52" s="9">
        <v>0.8</v>
      </c>
      <c r="L52" s="21">
        <f>'[153]Arc Results'!$I$10960+'[153]Arc Results'!$I$10971+'[153]Arc Results'!$I$10982+'[153]Arc Results'!$I$10993+'[153]Arc Results'!$I$11004+'[153]Arc Results'!$I$11015+'[153]Arc Results'!$I$11026+'[153]Arc Results'!$I$11037+'[153]Arc Results'!$I$11048+'[153]Arc Results'!$I$11059+'[153]Arc Results'!$I$11070+'[153]Arc Results'!$I$11081+'[153]Arc Results'!$I$11092+'[153]Arc Results'!$I$11103+'[153]Arc Results'!$I$11114+'[153]Arc Results'!$I$11125+'[153]Arc Results'!$I$11136+'[153]Arc Results'!$I$11147+'[153]Arc Results'!$I$11158+'[153]Arc Results'!$I$11169+'[153]Arc Results'!$I$11180+'[153]Arc Results'!$I$11191+'[153]Arc Results'!$I$11202+'[153]Arc Results'!$I$11213+'[153]Arc Results'!$I$11224+'[153]Arc Results'!$I$11235+'[153]Arc Results'!$I$11246+'[153]Arc Results'!$I$11257+'[153]Arc Results'!$I$11268</f>
        <v>3289.3548508983422</v>
      </c>
      <c r="M52" s="21">
        <f>'[153]Arc Results'!$I$257</f>
        <v>14223.844769725047</v>
      </c>
      <c r="N52" s="21">
        <f t="shared" si="1"/>
        <v>5619.9811178247728</v>
      </c>
      <c r="O52" s="21">
        <f t="shared" si="2"/>
        <v>8000.0000000000018</v>
      </c>
      <c r="P52" s="22">
        <f t="shared" si="3"/>
        <v>5992.388217522659</v>
      </c>
      <c r="Q52" s="22">
        <f t="shared" si="4"/>
        <v>1582.8680945459348</v>
      </c>
      <c r="R52" s="22">
        <f t="shared" si="5"/>
        <v>478.84138972809666</v>
      </c>
      <c r="S52" s="22">
        <f t="shared" si="6"/>
        <v>379.71299093655591</v>
      </c>
      <c r="T52" s="22">
        <f t="shared" si="7"/>
        <v>6130</v>
      </c>
      <c r="U52" s="21" t="str">
        <f>[153]Log!$K$2</f>
        <v>364.405.526,11</v>
      </c>
      <c r="V52" s="21" t="str">
        <f>[153]Log!$J$2</f>
        <v>88.973.415,72</v>
      </c>
      <c r="W52" s="21" t="str">
        <f>[153]Log!$N$2</f>
        <v>35.380.701,91</v>
      </c>
      <c r="X52" s="23">
        <f t="shared" si="8"/>
        <v>0</v>
      </c>
      <c r="Y52" s="22"/>
      <c r="Z52" s="24">
        <f t="shared" si="9"/>
        <v>42407.63658028307</v>
      </c>
      <c r="AA52" s="22">
        <f>'[153]Arc Results'!$I$15</f>
        <v>144.65256797583081</v>
      </c>
      <c r="AB52" s="22">
        <f>'[153]Arc Results'!$I$26</f>
        <v>235.06042296072508</v>
      </c>
      <c r="AC52" s="22">
        <f>'[153]Arc Results'!$I$48</f>
        <v>689.95193140394088</v>
      </c>
      <c r="AD52" s="22">
        <f>'[153]Arc Results'!$I$59</f>
        <v>892.91616314199393</v>
      </c>
      <c r="AE52" s="22">
        <f>'[153]Arc Results'!$I$114</f>
        <v>226.93957703927492</v>
      </c>
      <c r="AF52" s="22">
        <f>'[153]Arc Results'!$I$125</f>
        <v>251.90181268882174</v>
      </c>
      <c r="AG52" s="22">
        <f>'[153]Arc Results'!$I$147</f>
        <v>2794.5166163141994</v>
      </c>
      <c r="AH52" s="22">
        <f>'[153]Arc Results'!$I$158</f>
        <v>2825.4645015105739</v>
      </c>
      <c r="AI52" s="22">
        <f>'[153]Arc Results'!$I$213</f>
        <v>4000</v>
      </c>
      <c r="AJ52" s="22">
        <f>'[153]Arc Results'!$I$224</f>
        <v>4000.0000000000018</v>
      </c>
      <c r="AK52" s="22">
        <f>'[153]Arc Results'!$I$180</f>
        <v>3063</v>
      </c>
      <c r="AL52" s="22">
        <f>'[153]Arc Results'!$I$191</f>
        <v>3067.0000000000005</v>
      </c>
      <c r="AM52" s="22">
        <f>'[153]Arc Results'!$I$81</f>
        <v>2996.1941087613295</v>
      </c>
      <c r="AN52" s="22">
        <f>'[153]Arc Results'!$I$81</f>
        <v>2996.1941087613295</v>
      </c>
      <c r="AP52" s="9">
        <f t="shared" si="10"/>
        <v>1.2380952380952381</v>
      </c>
      <c r="AQ52" s="9">
        <f t="shared" si="11"/>
        <v>1.1282256130105874</v>
      </c>
      <c r="AR52" s="9">
        <f t="shared" si="12"/>
        <v>1.05213048868587</v>
      </c>
      <c r="AS52" s="9">
        <f t="shared" si="13"/>
        <v>1.0055067596398533</v>
      </c>
      <c r="AT52" s="9">
        <f t="shared" si="14"/>
        <v>1.0000000000000002</v>
      </c>
      <c r="AU52" s="9">
        <f t="shared" si="15"/>
        <v>1.000652528548124</v>
      </c>
      <c r="AV52" s="9">
        <f t="shared" si="16"/>
        <v>1</v>
      </c>
    </row>
    <row r="53" spans="1:48" ht="15.75">
      <c r="A53">
        <f t="shared" si="17"/>
        <v>49</v>
      </c>
      <c r="B53" s="9">
        <v>2020</v>
      </c>
      <c r="C53" s="9" t="s">
        <v>89</v>
      </c>
      <c r="D53" s="9" t="s">
        <v>88</v>
      </c>
      <c r="E53" s="7" t="s">
        <v>6</v>
      </c>
      <c r="F53" s="20" t="s">
        <v>84</v>
      </c>
      <c r="G53" s="7" t="s">
        <v>8</v>
      </c>
      <c r="H53" s="7" t="s">
        <v>9</v>
      </c>
      <c r="I53" s="9" t="s">
        <v>45</v>
      </c>
      <c r="J53" s="9">
        <v>500</v>
      </c>
      <c r="K53" s="9">
        <v>0.8</v>
      </c>
      <c r="L53" s="21">
        <f>'[154]Arc Results'!$I$10960+'[154]Arc Results'!$I$10971+'[154]Arc Results'!$I$10982+'[154]Arc Results'!$I$10993+'[154]Arc Results'!$I$11004+'[154]Arc Results'!$I$11015+'[154]Arc Results'!$I$11026+'[154]Arc Results'!$I$11037+'[154]Arc Results'!$I$11048+'[154]Arc Results'!$I$11059+'[154]Arc Results'!$I$11070+'[154]Arc Results'!$I$11081+'[154]Arc Results'!$I$11092+'[154]Arc Results'!$I$11103+'[154]Arc Results'!$I$11114+'[154]Arc Results'!$I$11125+'[154]Arc Results'!$I$11136+'[154]Arc Results'!$I$11147+'[154]Arc Results'!$I$11158+'[154]Arc Results'!$I$11169+'[154]Arc Results'!$I$11180+'[154]Arc Results'!$I$11191+'[154]Arc Results'!$I$11202+'[154]Arc Results'!$I$11213+'[154]Arc Results'!$I$11224+'[154]Arc Results'!$I$11235+'[154]Arc Results'!$I$11246+'[154]Arc Results'!$I$11257+'[154]Arc Results'!$I$11268</f>
        <v>3425.7464672125429</v>
      </c>
      <c r="M53" s="21">
        <f>'[154]Arc Results'!$I$257</f>
        <v>14223.844769725049</v>
      </c>
      <c r="N53" s="21">
        <f t="shared" si="1"/>
        <v>5657.1185800604235</v>
      </c>
      <c r="O53" s="21">
        <f t="shared" si="2"/>
        <v>9493.1570996978844</v>
      </c>
      <c r="P53" s="22">
        <f t="shared" si="3"/>
        <v>4628</v>
      </c>
      <c r="Q53" s="22">
        <f t="shared" si="4"/>
        <v>1847.0127320081717</v>
      </c>
      <c r="R53" s="22">
        <f t="shared" si="5"/>
        <v>508.79607250755282</v>
      </c>
      <c r="S53" s="22">
        <f t="shared" si="6"/>
        <v>488.20241691842898</v>
      </c>
      <c r="T53" s="22">
        <f t="shared" si="7"/>
        <v>6130</v>
      </c>
      <c r="U53" s="21" t="str">
        <f>[154]Log!$K$2</f>
        <v>354.737.724,04</v>
      </c>
      <c r="V53" s="21" t="str">
        <f>[154]Log!$J$2</f>
        <v>88.973.415,72</v>
      </c>
      <c r="W53" s="21" t="str">
        <f>[154]Log!$N$2</f>
        <v>35.380.701,91</v>
      </c>
      <c r="X53" s="23">
        <f t="shared" si="8"/>
        <v>0</v>
      </c>
      <c r="Y53" s="22"/>
      <c r="Z53" s="24">
        <f t="shared" si="9"/>
        <v>42976.131670917515</v>
      </c>
      <c r="AA53" s="22">
        <f>'[154]Arc Results'!$I$15</f>
        <v>198.89728096676737</v>
      </c>
      <c r="AB53" s="22">
        <f>'[154]Arc Results'!$I$26</f>
        <v>289.30513595166161</v>
      </c>
      <c r="AC53" s="22">
        <f>'[154]Arc Results'!$I$48</f>
        <v>812.42360814110225</v>
      </c>
      <c r="AD53" s="22">
        <f>'[154]Arc Results'!$I$59</f>
        <v>1034.5891238670695</v>
      </c>
      <c r="AE53" s="22">
        <f>'[154]Arc Results'!$I$114</f>
        <v>241.916918429003</v>
      </c>
      <c r="AF53" s="22">
        <f>'[154]Arc Results'!$I$125</f>
        <v>266.87915407854985</v>
      </c>
      <c r="AG53" s="22">
        <f>'[154]Arc Results'!$I$147</f>
        <v>2813.0853474320243</v>
      </c>
      <c r="AH53" s="22">
        <f>'[154]Arc Results'!$I$158</f>
        <v>2844.0332326283988</v>
      </c>
      <c r="AI53" s="22">
        <f>'[154]Arc Results'!$I$213</f>
        <v>4608.3232628398791</v>
      </c>
      <c r="AJ53" s="22">
        <f>'[154]Arc Results'!$I$224</f>
        <v>4884.8338368580062</v>
      </c>
      <c r="AK53" s="22">
        <f>'[154]Arc Results'!$I$180</f>
        <v>3063</v>
      </c>
      <c r="AL53" s="22">
        <f>'[154]Arc Results'!$I$191</f>
        <v>3067</v>
      </c>
      <c r="AM53" s="22">
        <f>'[154]Arc Results'!$I$81</f>
        <v>2314</v>
      </c>
      <c r="AN53" s="22">
        <f>'[154]Arc Results'!$I$81</f>
        <v>2314</v>
      </c>
      <c r="AP53" s="9">
        <f t="shared" si="10"/>
        <v>1.1851851851851851</v>
      </c>
      <c r="AQ53" s="9">
        <f t="shared" si="11"/>
        <v>1.1202836947877544</v>
      </c>
      <c r="AR53" s="9">
        <f t="shared" si="12"/>
        <v>1.0490613764499457</v>
      </c>
      <c r="AS53" s="9">
        <f t="shared" si="13"/>
        <v>1.0054706092436272</v>
      </c>
      <c r="AT53" s="9">
        <f t="shared" si="14"/>
        <v>1.0291273568017669</v>
      </c>
      <c r="AU53" s="9">
        <f t="shared" si="15"/>
        <v>1.000652528548124</v>
      </c>
      <c r="AV53" s="9">
        <f t="shared" si="16"/>
        <v>1</v>
      </c>
    </row>
    <row r="54" spans="1:48" ht="15.75">
      <c r="A54">
        <f t="shared" si="17"/>
        <v>50</v>
      </c>
      <c r="B54" s="9">
        <v>2020</v>
      </c>
      <c r="C54" s="9" t="s">
        <v>89</v>
      </c>
      <c r="D54" s="9" t="s">
        <v>88</v>
      </c>
      <c r="E54" s="7" t="s">
        <v>6</v>
      </c>
      <c r="F54" s="20" t="s">
        <v>85</v>
      </c>
      <c r="G54" s="7" t="s">
        <v>8</v>
      </c>
      <c r="H54" s="7" t="s">
        <v>9</v>
      </c>
      <c r="I54" s="9" t="s">
        <v>45</v>
      </c>
      <c r="J54" s="9">
        <v>500</v>
      </c>
      <c r="K54" s="9">
        <v>0.8</v>
      </c>
      <c r="L54" s="21">
        <f>'[155]Arc Results'!$I$10960+'[155]Arc Results'!$I$10971+'[155]Arc Results'!$I$10982+'[155]Arc Results'!$I$10993+'[155]Arc Results'!$I$11004+'[155]Arc Results'!$I$11015+'[155]Arc Results'!$I$11026+'[155]Arc Results'!$I$11037+'[155]Arc Results'!$I$11048+'[155]Arc Results'!$I$11059+'[155]Arc Results'!$I$11070+'[155]Arc Results'!$I$11081+'[155]Arc Results'!$I$11092+'[155]Arc Results'!$I$11103+'[155]Arc Results'!$I$11114+'[155]Arc Results'!$I$11125+'[155]Arc Results'!$I$11136+'[155]Arc Results'!$I$11147+'[155]Arc Results'!$I$11158+'[155]Arc Results'!$I$11169+'[155]Arc Results'!$I$11180+'[155]Arc Results'!$I$11191+'[155]Arc Results'!$I$11202+'[155]Arc Results'!$I$11213+'[155]Arc Results'!$I$11224+'[155]Arc Results'!$I$11235+'[155]Arc Results'!$I$11246+'[155]Arc Results'!$I$11257+'[155]Arc Results'!$I$11268</f>
        <v>3260.3027360947199</v>
      </c>
      <c r="M54" s="21">
        <f>'[155]Arc Results'!$I$257</f>
        <v>14223.844769725045</v>
      </c>
      <c r="N54" s="21">
        <f t="shared" si="1"/>
        <v>5595.2228096676736</v>
      </c>
      <c r="O54" s="21">
        <f t="shared" si="2"/>
        <v>8940.3684721894424</v>
      </c>
      <c r="P54" s="22">
        <f t="shared" si="3"/>
        <v>5764.9901812688822</v>
      </c>
      <c r="Q54" s="22">
        <f t="shared" si="4"/>
        <v>1408.037764350453</v>
      </c>
      <c r="R54" s="22">
        <f t="shared" si="5"/>
        <v>458.8716012084592</v>
      </c>
      <c r="S54" s="22">
        <f t="shared" si="6"/>
        <v>0</v>
      </c>
      <c r="T54" s="22">
        <f t="shared" si="7"/>
        <v>6130</v>
      </c>
      <c r="U54" s="21" t="str">
        <f>[155]Log!$K$2</f>
        <v>340.131.074,39</v>
      </c>
      <c r="V54" s="21" t="str">
        <f>[155]Log!$J$2</f>
        <v>88.973.415,72</v>
      </c>
      <c r="W54" s="21" t="str">
        <f>[155]Log!$N$2</f>
        <v>35.380.701,91</v>
      </c>
      <c r="X54" s="23">
        <f t="shared" si="8"/>
        <v>0</v>
      </c>
      <c r="Y54" s="22"/>
      <c r="Z54" s="24">
        <f t="shared" si="9"/>
        <v>42521.335598409962</v>
      </c>
      <c r="AA54" s="22">
        <f>'[155]Arc Results'!$I$15</f>
        <v>0</v>
      </c>
      <c r="AB54" s="22">
        <f>'[155]Arc Results'!$I$26</f>
        <v>0</v>
      </c>
      <c r="AC54" s="22">
        <f>'[155]Arc Results'!$I$48</f>
        <v>609.57024169184285</v>
      </c>
      <c r="AD54" s="22">
        <f>'[155]Arc Results'!$I$59</f>
        <v>798.46752265861028</v>
      </c>
      <c r="AE54" s="22">
        <f>'[155]Arc Results'!$I$114</f>
        <v>216.95468277945619</v>
      </c>
      <c r="AF54" s="22">
        <f>'[155]Arc Results'!$I$125</f>
        <v>241.916918429003</v>
      </c>
      <c r="AG54" s="22">
        <f>'[155]Arc Results'!$I$147</f>
        <v>2782.1374622356498</v>
      </c>
      <c r="AH54" s="22">
        <f>'[155]Arc Results'!$I$158</f>
        <v>2813.0853474320243</v>
      </c>
      <c r="AI54" s="22">
        <f>'[155]Arc Results'!$I$213</f>
        <v>4332.0452093495642</v>
      </c>
      <c r="AJ54" s="22">
        <f>'[155]Arc Results'!$I$224</f>
        <v>4608.3232628398791</v>
      </c>
      <c r="AK54" s="22">
        <f>'[155]Arc Results'!$I$180</f>
        <v>3063</v>
      </c>
      <c r="AL54" s="22">
        <f>'[155]Arc Results'!$I$191</f>
        <v>3067.0000000000005</v>
      </c>
      <c r="AM54" s="22">
        <f>'[155]Arc Results'!$I$81</f>
        <v>2882.4950906344411</v>
      </c>
      <c r="AN54" s="22">
        <f>'[155]Arc Results'!$I$81</f>
        <v>2882.4950906344411</v>
      </c>
      <c r="AP54" s="9" t="e">
        <f t="shared" si="10"/>
        <v>#DIV/0!</v>
      </c>
      <c r="AQ54" s="9">
        <f t="shared" si="11"/>
        <v>1.134156402441314</v>
      </c>
      <c r="AR54" s="9">
        <f t="shared" si="12"/>
        <v>1.0543991730667308</v>
      </c>
      <c r="AS54" s="9">
        <f t="shared" si="13"/>
        <v>1.0055311265072235</v>
      </c>
      <c r="AT54" s="9">
        <f t="shared" si="14"/>
        <v>1.0309023117279479</v>
      </c>
      <c r="AU54" s="9">
        <f t="shared" si="15"/>
        <v>1.000652528548124</v>
      </c>
      <c r="AV54" s="9">
        <f t="shared" si="16"/>
        <v>1</v>
      </c>
    </row>
    <row r="55" spans="1:48" ht="15.75">
      <c r="A55">
        <f t="shared" si="17"/>
        <v>51</v>
      </c>
      <c r="B55" s="9">
        <v>2020</v>
      </c>
      <c r="C55" s="9" t="s">
        <v>89</v>
      </c>
      <c r="D55" s="9" t="s">
        <v>88</v>
      </c>
      <c r="E55" s="7" t="s">
        <v>6</v>
      </c>
      <c r="F55" s="20" t="s">
        <v>86</v>
      </c>
      <c r="G55" s="7" t="s">
        <v>8</v>
      </c>
      <c r="H55" s="7" t="s">
        <v>9</v>
      </c>
      <c r="I55" s="9" t="s">
        <v>45</v>
      </c>
      <c r="J55" s="9">
        <v>500</v>
      </c>
      <c r="K55" s="9">
        <v>0.8</v>
      </c>
      <c r="L55" s="21">
        <f>'[156]Arc Results'!$I$10960+'[156]Arc Results'!$I$10971+'[156]Arc Results'!$I$10982+'[156]Arc Results'!$I$10993+'[156]Arc Results'!$I$11004+'[156]Arc Results'!$I$11015+'[156]Arc Results'!$I$11026+'[156]Arc Results'!$I$11037+'[156]Arc Results'!$I$11048+'[156]Arc Results'!$I$11059+'[156]Arc Results'!$I$11070+'[156]Arc Results'!$I$11081+'[156]Arc Results'!$I$11092+'[156]Arc Results'!$I$11103+'[156]Arc Results'!$I$11114+'[156]Arc Results'!$I$11125+'[156]Arc Results'!$I$11136+'[156]Arc Results'!$I$11147+'[156]Arc Results'!$I$11158+'[156]Arc Results'!$I$11169+'[156]Arc Results'!$I$11180+'[156]Arc Results'!$I$11191+'[156]Arc Results'!$I$11202+'[156]Arc Results'!$I$11213+'[156]Arc Results'!$I$11224+'[156]Arc Results'!$I$11235+'[156]Arc Results'!$I$11246+'[156]Arc Results'!$I$11257+'[156]Arc Results'!$I$11268</f>
        <v>3320.8198379234041</v>
      </c>
      <c r="M55" s="21">
        <f>'[156]Arc Results'!$I$257</f>
        <v>14223.844769725049</v>
      </c>
      <c r="N55" s="21">
        <f t="shared" si="1"/>
        <v>5613.791540785498</v>
      </c>
      <c r="O55" s="21">
        <f t="shared" si="2"/>
        <v>9106.0422960725082</v>
      </c>
      <c r="P55" s="22">
        <f t="shared" si="3"/>
        <v>5992.388217522659</v>
      </c>
      <c r="Q55" s="22">
        <f t="shared" si="4"/>
        <v>558</v>
      </c>
      <c r="R55" s="22">
        <f t="shared" si="5"/>
        <v>473.84894259818731</v>
      </c>
      <c r="S55" s="22">
        <f t="shared" si="6"/>
        <v>361.63141993957703</v>
      </c>
      <c r="T55" s="22">
        <f t="shared" si="7"/>
        <v>6130</v>
      </c>
      <c r="U55" s="21" t="str">
        <f>[156]Log!$K$2</f>
        <v>342.104.967,73</v>
      </c>
      <c r="V55" s="21" t="str">
        <f>[156]Log!$J$2</f>
        <v>88.973.415,72</v>
      </c>
      <c r="W55" s="21" t="str">
        <f>[156]Log!$N$2</f>
        <v>35.380.701,91</v>
      </c>
      <c r="X55" s="23">
        <f t="shared" si="8"/>
        <v>0</v>
      </c>
      <c r="Y55" s="22"/>
      <c r="Z55" s="24">
        <f t="shared" si="9"/>
        <v>42459.547186643482</v>
      </c>
      <c r="AA55" s="22">
        <f>'[156]Arc Results'!$I$15</f>
        <v>144.65256797583081</v>
      </c>
      <c r="AB55" s="22">
        <f>'[156]Arc Results'!$I$26</f>
        <v>216.97885196374622</v>
      </c>
      <c r="AC55" s="22">
        <f>'[156]Arc Results'!$I$48</f>
        <v>279</v>
      </c>
      <c r="AD55" s="22">
        <f>'[156]Arc Results'!$I$59</f>
        <v>279</v>
      </c>
      <c r="AE55" s="22">
        <f>'[156]Arc Results'!$I$114</f>
        <v>226.93957703927492</v>
      </c>
      <c r="AF55" s="22">
        <f>'[156]Arc Results'!$I$125</f>
        <v>246.90936555891238</v>
      </c>
      <c r="AG55" s="22">
        <f>'[156]Arc Results'!$I$147</f>
        <v>2794.5166163141994</v>
      </c>
      <c r="AH55" s="22">
        <f>'[156]Arc Results'!$I$158</f>
        <v>2819.2749244712991</v>
      </c>
      <c r="AI55" s="22">
        <f>'[156]Arc Results'!$I$213</f>
        <v>4442.4169184290031</v>
      </c>
      <c r="AJ55" s="22">
        <f>'[156]Arc Results'!$I$224</f>
        <v>4663.6253776435042</v>
      </c>
      <c r="AK55" s="22">
        <f>'[156]Arc Results'!$I$180</f>
        <v>3063</v>
      </c>
      <c r="AL55" s="22">
        <f>'[156]Arc Results'!$I$191</f>
        <v>3067</v>
      </c>
      <c r="AM55" s="22">
        <f>'[156]Arc Results'!$I$81</f>
        <v>2996.1941087613295</v>
      </c>
      <c r="AN55" s="22">
        <f>'[156]Arc Results'!$I$81</f>
        <v>2996.1941087613295</v>
      </c>
      <c r="AP55" s="9">
        <f t="shared" si="10"/>
        <v>1.2</v>
      </c>
      <c r="AQ55" s="9">
        <f t="shared" si="11"/>
        <v>1</v>
      </c>
      <c r="AR55" s="9">
        <f t="shared" si="12"/>
        <v>1.0421437861824487</v>
      </c>
      <c r="AS55" s="9">
        <f t="shared" si="13"/>
        <v>1.0044102649657054</v>
      </c>
      <c r="AT55" s="9">
        <f t="shared" si="14"/>
        <v>1.0242924919544805</v>
      </c>
      <c r="AU55" s="9">
        <f t="shared" si="15"/>
        <v>1.000652528548124</v>
      </c>
      <c r="AV55" s="9">
        <f t="shared" si="16"/>
        <v>1</v>
      </c>
    </row>
    <row r="56" spans="1:48" ht="15.75">
      <c r="A56">
        <f t="shared" si="17"/>
        <v>52</v>
      </c>
      <c r="B56" s="9">
        <v>2020</v>
      </c>
      <c r="C56" s="9" t="s">
        <v>89</v>
      </c>
      <c r="D56" s="9" t="s">
        <v>88</v>
      </c>
      <c r="E56" s="7" t="s">
        <v>6</v>
      </c>
      <c r="F56" s="20" t="s">
        <v>87</v>
      </c>
      <c r="G56" s="7" t="s">
        <v>8</v>
      </c>
      <c r="H56" s="7" t="s">
        <v>9</v>
      </c>
      <c r="I56" s="9" t="s">
        <v>45</v>
      </c>
      <c r="J56" s="9">
        <v>500</v>
      </c>
      <c r="K56" s="9">
        <v>0.8</v>
      </c>
      <c r="L56" s="21">
        <f>'[157]Arc Results'!$I$10960+'[157]Arc Results'!$I$10971+'[157]Arc Results'!$I$10982+'[157]Arc Results'!$I$10993+'[157]Arc Results'!$I$11004+'[157]Arc Results'!$I$11015+'[157]Arc Results'!$I$11026+'[157]Arc Results'!$I$11037+'[157]Arc Results'!$I$11048+'[157]Arc Results'!$I$11059+'[157]Arc Results'!$I$11070+'[157]Arc Results'!$I$11081+'[157]Arc Results'!$I$11092+'[157]Arc Results'!$I$11103+'[157]Arc Results'!$I$11114+'[157]Arc Results'!$I$11125+'[157]Arc Results'!$I$11136+'[157]Arc Results'!$I$11147+'[157]Arc Results'!$I$11158+'[157]Arc Results'!$I$11169+'[157]Arc Results'!$I$11180+'[157]Arc Results'!$I$11191+'[157]Arc Results'!$I$11202+'[157]Arc Results'!$I$11213+'[157]Arc Results'!$I$11224+'[157]Arc Results'!$I$11235+'[157]Arc Results'!$I$11246+'[157]Arc Results'!$I$11257+'[157]Arc Results'!$I$11268</f>
        <v>3177.6816204007459</v>
      </c>
      <c r="M56" s="21">
        <f>'[157]Arc Results'!$I$257</f>
        <v>14223.844769725045</v>
      </c>
      <c r="N56" s="21">
        <f t="shared" si="1"/>
        <v>5589.0332326283988</v>
      </c>
      <c r="O56" s="21">
        <f t="shared" si="2"/>
        <v>8903.0478528540953</v>
      </c>
      <c r="P56" s="22">
        <f t="shared" si="3"/>
        <v>5537.5921450151054</v>
      </c>
      <c r="Q56" s="22">
        <f t="shared" si="4"/>
        <v>1360.8134441087614</v>
      </c>
      <c r="R56" s="22">
        <f t="shared" si="5"/>
        <v>374.00000000000006</v>
      </c>
      <c r="S56" s="22">
        <f t="shared" si="6"/>
        <v>289.30513595166161</v>
      </c>
      <c r="T56" s="22">
        <f t="shared" si="7"/>
        <v>6130</v>
      </c>
      <c r="U56" s="21" t="str">
        <f>[157]Log!$K$2</f>
        <v>341.162.184,27</v>
      </c>
      <c r="V56" s="21" t="str">
        <f>[157]Log!$J$2</f>
        <v>88.973.415,72</v>
      </c>
      <c r="W56" s="21" t="str">
        <f>[157]Log!$N$2</f>
        <v>35.380.701,91</v>
      </c>
      <c r="X56" s="23">
        <f t="shared" si="8"/>
        <v>0</v>
      </c>
      <c r="Y56" s="22"/>
      <c r="Z56" s="24">
        <f t="shared" si="9"/>
        <v>42407.636580283062</v>
      </c>
      <c r="AA56" s="22">
        <f>'[157]Arc Results'!$I$15</f>
        <v>108.48942598187311</v>
      </c>
      <c r="AB56" s="22">
        <f>'[157]Arc Results'!$I$26</f>
        <v>180.81570996978851</v>
      </c>
      <c r="AC56" s="22">
        <f>'[157]Arc Results'!$I$48</f>
        <v>562.34592145015108</v>
      </c>
      <c r="AD56" s="22">
        <f>'[157]Arc Results'!$I$59</f>
        <v>798.46752265861028</v>
      </c>
      <c r="AE56" s="22">
        <f>'[157]Arc Results'!$I$114</f>
        <v>187</v>
      </c>
      <c r="AF56" s="22">
        <f>'[157]Arc Results'!$I$125</f>
        <v>187.00000000000006</v>
      </c>
      <c r="AG56" s="22">
        <f>'[157]Arc Results'!$I$147</f>
        <v>2782.1374622356498</v>
      </c>
      <c r="AH56" s="22">
        <f>'[157]Arc Results'!$I$158</f>
        <v>2806.8957703927495</v>
      </c>
      <c r="AI56" s="22">
        <f>'[157]Arc Results'!$I$213</f>
        <v>4331.8126888217521</v>
      </c>
      <c r="AJ56" s="22">
        <f>'[157]Arc Results'!$I$224</f>
        <v>4571.2351640323432</v>
      </c>
      <c r="AK56" s="22">
        <f>'[157]Arc Results'!$I$180</f>
        <v>3063</v>
      </c>
      <c r="AL56" s="22">
        <f>'[157]Arc Results'!$I$191</f>
        <v>3067</v>
      </c>
      <c r="AM56" s="22">
        <f>'[157]Arc Results'!$I$81</f>
        <v>2768.7960725075527</v>
      </c>
      <c r="AN56" s="22">
        <f>'[157]Arc Results'!$I$81</f>
        <v>2768.7960725075527</v>
      </c>
      <c r="AP56" s="9">
        <f t="shared" si="10"/>
        <v>1.25</v>
      </c>
      <c r="AQ56" s="9">
        <f t="shared" si="11"/>
        <v>1.1735150414854274</v>
      </c>
      <c r="AR56" s="9">
        <f t="shared" si="12"/>
        <v>1.0000000000000002</v>
      </c>
      <c r="AS56" s="9">
        <f t="shared" si="13"/>
        <v>1.0044298015643498</v>
      </c>
      <c r="AT56" s="9">
        <f t="shared" si="14"/>
        <v>1.0268921923331951</v>
      </c>
      <c r="AU56" s="9">
        <f t="shared" si="15"/>
        <v>1.000652528548124</v>
      </c>
      <c r="AV56" s="9">
        <f t="shared" si="16"/>
        <v>1</v>
      </c>
    </row>
    <row r="59" spans="1:48" ht="15.75">
      <c r="A59" s="5"/>
      <c r="B59" s="9"/>
      <c r="C59" s="9"/>
      <c r="D59" s="9"/>
      <c r="E59" s="7"/>
      <c r="F59" s="7"/>
      <c r="G59" s="7"/>
      <c r="H59" s="7"/>
      <c r="I59" s="9"/>
      <c r="J59" s="9"/>
      <c r="K59" s="9"/>
      <c r="L59" s="21"/>
      <c r="M59" s="21"/>
      <c r="N59" s="21"/>
      <c r="O59" s="21"/>
      <c r="P59" s="22"/>
      <c r="Q59" s="22"/>
      <c r="R59" s="22"/>
      <c r="S59" s="22"/>
      <c r="T59" s="22"/>
      <c r="U59" s="21"/>
      <c r="V59" s="21"/>
      <c r="W59" s="21"/>
      <c r="X59" s="23"/>
      <c r="Y59" s="22"/>
      <c r="Z59" s="24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P59" s="9" t="e">
        <f t="shared" ref="AP59" si="18">2*AB59/SUM(AA59:AB59)</f>
        <v>#DIV/0!</v>
      </c>
      <c r="AQ59" s="9" t="e">
        <f t="shared" ref="AQ59" si="19">2*AD59/SUM(AC59:AD59)</f>
        <v>#DIV/0!</v>
      </c>
      <c r="AR59" s="9" t="e">
        <f t="shared" ref="AR59" si="20">2*AF59/SUM(AE59:AF59)</f>
        <v>#DIV/0!</v>
      </c>
      <c r="AS59" s="9" t="e">
        <f t="shared" ref="AS59" si="21">2*AH59/SUM(AG59:AH59)</f>
        <v>#DIV/0!</v>
      </c>
      <c r="AT59" s="9" t="e">
        <f t="shared" ref="AT59" si="22">2*AJ59/SUM(AI59:AJ59)</f>
        <v>#DIV/0!</v>
      </c>
      <c r="AU59" s="9" t="e">
        <f t="shared" ref="AU59" si="23">2*AL59/SUM(AK59:AL59)</f>
        <v>#DIV/0!</v>
      </c>
      <c r="AV59" s="9" t="e">
        <f t="shared" ref="AV59" si="24">2*AN59/SUM(AM59:AN59)</f>
        <v>#DIV/0!</v>
      </c>
    </row>
    <row r="60" spans="1:48"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83" spans="117:117">
      <c r="DM83" s="5"/>
    </row>
    <row r="84" spans="117:117">
      <c r="DM84" s="5"/>
    </row>
  </sheetData>
  <mergeCells count="4">
    <mergeCell ref="C2:D2"/>
    <mergeCell ref="F2:I2"/>
    <mergeCell ref="N2:T2"/>
    <mergeCell ref="U2:W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M84"/>
  <sheetViews>
    <sheetView topLeftCell="F1" zoomScale="70" zoomScaleNormal="70" workbookViewId="0">
      <selection activeCell="L34" sqref="L34:L35"/>
    </sheetView>
  </sheetViews>
  <sheetFormatPr defaultRowHeight="15"/>
  <cols>
    <col min="1" max="1" width="3.44140625" bestFit="1" customWidth="1"/>
    <col min="2" max="2" width="5" bestFit="1" customWidth="1"/>
    <col min="3" max="3" width="9.21875" customWidth="1"/>
    <col min="4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9" width="8.77734375" hidden="1" customWidth="1"/>
    <col min="10" max="11" width="6.109375" hidden="1" customWidth="1"/>
    <col min="12" max="12" width="8.44140625" bestFit="1" customWidth="1"/>
    <col min="13" max="13" width="8.6640625" customWidth="1"/>
    <col min="14" max="16" width="7" customWidth="1"/>
    <col min="17" max="19" width="5.5546875" customWidth="1"/>
    <col min="20" max="20" width="7.109375" customWidth="1"/>
    <col min="21" max="23" width="7.77734375" customWidth="1"/>
    <col min="24" max="24" width="8.44140625" customWidth="1"/>
    <col min="25" max="25" width="5.109375" hidden="1" customWidth="1"/>
    <col min="26" max="26" width="10" customWidth="1"/>
    <col min="27" max="41" width="8.88671875" customWidth="1"/>
  </cols>
  <sheetData>
    <row r="1" spans="1:48">
      <c r="L1" s="22"/>
      <c r="M1" s="18"/>
      <c r="N1" s="27">
        <f>N4/SUM($N$4:$T$4)</f>
        <v>0.20080606922712185</v>
      </c>
      <c r="O1" s="27">
        <f t="shared" ref="O1:T1" si="0">O4/SUM($N$4:$T$4)</f>
        <v>0.28425794215267902</v>
      </c>
      <c r="P1" s="27">
        <f t="shared" si="0"/>
        <v>0.24270981507823614</v>
      </c>
      <c r="Q1" s="27">
        <f t="shared" si="0"/>
        <v>6.1996206733048835E-2</v>
      </c>
      <c r="R1" s="27">
        <f t="shared" si="0"/>
        <v>1.5232337600758653E-2</v>
      </c>
      <c r="S1" s="27">
        <f t="shared" si="0"/>
        <v>1.5647226173541962E-2</v>
      </c>
      <c r="T1" s="27">
        <f t="shared" si="0"/>
        <v>0.17935040303461355</v>
      </c>
    </row>
    <row r="2" spans="1:48" ht="15.75">
      <c r="C2" s="47" t="s">
        <v>28</v>
      </c>
      <c r="D2" s="47"/>
      <c r="F2" s="47" t="s">
        <v>23</v>
      </c>
      <c r="G2" s="47"/>
      <c r="H2" s="47"/>
      <c r="I2" s="47"/>
      <c r="J2" s="31"/>
      <c r="K2" s="31"/>
      <c r="L2" s="22"/>
      <c r="N2" s="47"/>
      <c r="O2" s="47"/>
      <c r="P2" s="47"/>
      <c r="Q2" s="47"/>
      <c r="R2" s="47"/>
      <c r="S2" s="47"/>
      <c r="T2" s="47"/>
      <c r="U2" s="47" t="s">
        <v>19</v>
      </c>
      <c r="V2" s="47"/>
      <c r="W2" s="47"/>
    </row>
    <row r="3" spans="1:48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J3" s="1" t="s">
        <v>14</v>
      </c>
      <c r="L3" s="1" t="s">
        <v>2</v>
      </c>
      <c r="M3" s="1" t="s">
        <v>3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20</v>
      </c>
      <c r="V3" s="1" t="s">
        <v>21</v>
      </c>
      <c r="W3" s="1" t="s">
        <v>22</v>
      </c>
      <c r="X3" s="1" t="s">
        <v>46</v>
      </c>
      <c r="AP3" s="1" t="s">
        <v>61</v>
      </c>
    </row>
    <row r="4" spans="1:48" s="1" customFormat="1" ht="15.75">
      <c r="K4" s="1" t="s">
        <v>64</v>
      </c>
      <c r="L4" s="1">
        <v>5082</v>
      </c>
      <c r="M4" s="1">
        <v>16515</v>
      </c>
      <c r="N4" s="1">
        <v>6776</v>
      </c>
      <c r="O4" s="1">
        <v>9592</v>
      </c>
      <c r="P4" s="1">
        <v>8190</v>
      </c>
      <c r="Q4" s="1">
        <v>2092</v>
      </c>
      <c r="R4" s="1">
        <v>514</v>
      </c>
      <c r="S4" s="1">
        <v>528</v>
      </c>
      <c r="T4" s="1">
        <v>6052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62</v>
      </c>
      <c r="AL4" s="1" t="s">
        <v>63</v>
      </c>
      <c r="AM4" s="1" t="s">
        <v>66</v>
      </c>
      <c r="AN4" s="1" t="s">
        <v>67</v>
      </c>
      <c r="AP4" s="1" t="s">
        <v>17</v>
      </c>
      <c r="AQ4" s="1" t="s">
        <v>15</v>
      </c>
      <c r="AR4" s="1" t="s">
        <v>16</v>
      </c>
      <c r="AS4" s="1" t="s">
        <v>12</v>
      </c>
      <c r="AT4" s="1" t="s">
        <v>13</v>
      </c>
      <c r="AU4" s="1" t="s">
        <v>18</v>
      </c>
      <c r="AV4" s="1" t="s">
        <v>14</v>
      </c>
    </row>
    <row r="5" spans="1:48" ht="15.75">
      <c r="A5" s="5">
        <v>1</v>
      </c>
      <c r="B5" s="9">
        <v>2020</v>
      </c>
      <c r="C5" s="9" t="s">
        <v>4</v>
      </c>
      <c r="D5" s="9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9" t="s">
        <v>45</v>
      </c>
      <c r="J5" s="9">
        <v>500</v>
      </c>
      <c r="K5" s="9">
        <v>0.8</v>
      </c>
      <c r="L5" s="21">
        <f>'[158]Arc Results'!$I$10960+'[158]Arc Results'!$I$10971+'[158]Arc Results'!$I$10982+'[158]Arc Results'!$I$10993+'[158]Arc Results'!$I$11004+'[158]Arc Results'!$I$11015+'[158]Arc Results'!$I$11026+'[158]Arc Results'!$I$11037+'[158]Arc Results'!$I$11048+'[158]Arc Results'!$I$11059+'[158]Arc Results'!$I$11070+'[158]Arc Results'!$I$11081+'[158]Arc Results'!$I$11092+'[158]Arc Results'!$I$11103+'[158]Arc Results'!$I$11114+'[158]Arc Results'!$I$11125+'[158]Arc Results'!$I$11136+'[158]Arc Results'!$I$11147+'[158]Arc Results'!$I$11158+'[158]Arc Results'!$I$11169+'[158]Arc Results'!$I$11180+'[158]Arc Results'!$I$11191+'[158]Arc Results'!$I$11202+'[158]Arc Results'!$I$11213+'[158]Arc Results'!$I$11224+'[158]Arc Results'!$I$11235+'[158]Arc Results'!$I$11246+'[158]Arc Results'!$I$11257+'[158]Arc Results'!$I$11268</f>
        <v>3971.5277508012919</v>
      </c>
      <c r="M5" s="21">
        <f>'[158]Arc Results'!$I$257</f>
        <v>6165.6637714285789</v>
      </c>
      <c r="N5" s="21">
        <f t="shared" ref="N5:N56" si="1">SUM(AG5:AH5)</f>
        <v>5703.5762548262555</v>
      </c>
      <c r="O5" s="21">
        <f t="shared" ref="O5:O56" si="2">SUM(AI5:AJ5)</f>
        <v>9908.2432432432433</v>
      </c>
      <c r="P5" s="22">
        <f t="shared" ref="P5:P56" si="3">SUM(AM5:AN5)</f>
        <v>7346.7213776922517</v>
      </c>
      <c r="Q5" s="22">
        <f t="shared" ref="Q5:Q56" si="4">SUM(AC5:AD5)</f>
        <v>2217.7024800246627</v>
      </c>
      <c r="R5" s="22">
        <f t="shared" ref="R5:R56" si="5">SUM(AE5:AF5)</f>
        <v>546.26833976833973</v>
      </c>
      <c r="S5" s="22">
        <f t="shared" ref="S5:S56" si="6">SUM(AA5:AB5)</f>
        <v>518.18918918918916</v>
      </c>
      <c r="T5" s="22">
        <f t="shared" ref="T5:T56" si="7">SUM(AK5:AL5)</f>
        <v>6130</v>
      </c>
      <c r="U5" s="25" t="str">
        <f>[158]Log!$K$2</f>
        <v>328.278.397,96</v>
      </c>
      <c r="V5" s="25" t="str">
        <f>[158]Log!$J$2</f>
        <v>47.021.289,99</v>
      </c>
      <c r="W5" s="25" t="str">
        <f>[158]Log!$N$2</f>
        <v>71.928.700,54</v>
      </c>
      <c r="X5" s="23">
        <f t="shared" ref="X5:X56" si="8">SUM(U5:W5)</f>
        <v>0</v>
      </c>
      <c r="Y5" s="22"/>
      <c r="Z5" s="24">
        <f t="shared" ref="Z5:Z56" si="9">M5+N5+O5+P5+Q5+R5+S5+T5</f>
        <v>38536.364656172518</v>
      </c>
      <c r="AA5" s="22">
        <f>'[158]Arc Results'!$I$15</f>
        <v>254.18918918918914</v>
      </c>
      <c r="AB5" s="22">
        <f>'[158]Arc Results'!$I$26</f>
        <v>264</v>
      </c>
      <c r="AC5" s="22">
        <f>'[158]Arc Results'!$I$48</f>
        <v>973.06541438759677</v>
      </c>
      <c r="AD5" s="22">
        <f>'[158]Arc Results'!$I$59</f>
        <v>1244.6370656370657</v>
      </c>
      <c r="AE5" s="22">
        <f>'[158]Arc Results'!$I$114</f>
        <v>257.18339768339769</v>
      </c>
      <c r="AF5" s="22">
        <f>'[158]Arc Results'!$I$125</f>
        <v>289.0849420849421</v>
      </c>
      <c r="AG5" s="22">
        <f>'[158]Arc Results'!$I$147</f>
        <v>2832.0125482625485</v>
      </c>
      <c r="AH5" s="22">
        <f>'[158]Arc Results'!$I$158</f>
        <v>2871.5637065637065</v>
      </c>
      <c r="AI5" s="22">
        <f>'[158]Arc Results'!$I$213</f>
        <v>4777.4324324324325</v>
      </c>
      <c r="AJ5" s="22">
        <f>'[158]Arc Results'!$I$224</f>
        <v>5130.8108108108108</v>
      </c>
      <c r="AK5" s="22">
        <f>'[158]Arc Results'!$I$180</f>
        <v>3063</v>
      </c>
      <c r="AL5" s="22">
        <f>'[158]Arc Results'!$I$191</f>
        <v>3067</v>
      </c>
      <c r="AM5" s="22">
        <f>'[158]Arc Results'!$I$81</f>
        <v>3673.3606888461259</v>
      </c>
      <c r="AN5" s="22">
        <f>'[158]Arc Results'!$I$81</f>
        <v>3673.3606888461259</v>
      </c>
      <c r="AP5" s="9">
        <f t="shared" ref="AP5:AP56" si="10">2*AB5/SUM(AA5:AB5)</f>
        <v>1.0189328743545611</v>
      </c>
      <c r="AQ5" s="9">
        <f t="shared" ref="AQ5:AQ56" si="11">2*AD5/SUM(AC5:AD5)</f>
        <v>1.1224563049803005</v>
      </c>
      <c r="AR5" s="9">
        <f t="shared" ref="AR5:AR56" si="12">2*AF5/SUM(AE5:AF5)</f>
        <v>1.0583990359299849</v>
      </c>
      <c r="AS5" s="9">
        <f t="shared" ref="AS5:AS56" si="13">2*AH5/SUM(AG5:AH5)</f>
        <v>1.0069344489376626</v>
      </c>
      <c r="AT5" s="9">
        <f t="shared" ref="AT5:AT56" si="14">2*AJ5/SUM(AI5:AJ5)</f>
        <v>1.0356650891286261</v>
      </c>
      <c r="AU5" s="9">
        <f t="shared" ref="AU5:AU56" si="15">2*AL5/SUM(AK5:AL5)</f>
        <v>1.000652528548124</v>
      </c>
      <c r="AV5" s="9">
        <f t="shared" ref="AV5:AV56" si="16">2*AN5/SUM(AM5:AN5)</f>
        <v>1</v>
      </c>
    </row>
    <row r="6" spans="1:48" ht="15.75">
      <c r="A6">
        <f>A5+1</f>
        <v>2</v>
      </c>
      <c r="B6" s="9">
        <v>2020</v>
      </c>
      <c r="C6" s="9" t="s">
        <v>4</v>
      </c>
      <c r="D6" s="9" t="s">
        <v>5</v>
      </c>
      <c r="E6" s="7" t="s">
        <v>6</v>
      </c>
      <c r="F6" s="7" t="s">
        <v>76</v>
      </c>
      <c r="G6" s="7" t="s">
        <v>8</v>
      </c>
      <c r="H6" s="7" t="s">
        <v>9</v>
      </c>
      <c r="I6" s="9" t="s">
        <v>45</v>
      </c>
      <c r="J6" s="9">
        <v>500</v>
      </c>
      <c r="K6" s="9">
        <v>0.8</v>
      </c>
      <c r="L6" s="28">
        <f>'[159]Arc Results'!$I$10960+'[159]Arc Results'!$I$10971+'[159]Arc Results'!$I$10982+'[159]Arc Results'!$I$10993+'[159]Arc Results'!$I$11004+'[159]Arc Results'!$I$11015+'[159]Arc Results'!$I$11026+'[159]Arc Results'!$I$11037+'[159]Arc Results'!$I$11048+'[159]Arc Results'!$I$11059+'[159]Arc Results'!$I$11070+'[159]Arc Results'!$I$11081+'[159]Arc Results'!$I$11092+'[159]Arc Results'!$I$11103+'[159]Arc Results'!$I$11114+'[159]Arc Results'!$I$11125+'[159]Arc Results'!$I$11136+'[159]Arc Results'!$I$11147+'[159]Arc Results'!$I$11158+'[159]Arc Results'!$I$11169+'[159]Arc Results'!$I$11180+'[159]Arc Results'!$I$11191+'[159]Arc Results'!$I$11202+'[159]Arc Results'!$I$11213+'[159]Arc Results'!$I$11224+'[159]Arc Results'!$I$11235+'[159]Arc Results'!$I$11246+'[159]Arc Results'!$I$11257+'[159]Arc Results'!$I$11268</f>
        <v>3865.4597006082413</v>
      </c>
      <c r="M6" s="28">
        <f>'[159]Arc Results'!$I$257</f>
        <v>6165.6637714285744</v>
      </c>
      <c r="N6" s="28">
        <f t="shared" si="1"/>
        <v>6123.9999999999982</v>
      </c>
      <c r="O6" s="28">
        <f t="shared" si="2"/>
        <v>9804.7591148167339</v>
      </c>
      <c r="P6" s="28">
        <f t="shared" si="3"/>
        <v>7243.516409266409</v>
      </c>
      <c r="Q6" s="28">
        <f t="shared" si="4"/>
        <v>2127.1602316602316</v>
      </c>
      <c r="R6" s="28">
        <f t="shared" si="5"/>
        <v>539.88803088803093</v>
      </c>
      <c r="S6" s="28">
        <f t="shared" si="6"/>
        <v>495.08108108108104</v>
      </c>
      <c r="T6" s="28">
        <f t="shared" si="7"/>
        <v>6130</v>
      </c>
      <c r="U6" s="28" t="str">
        <f>[159]Log!$K$2</f>
        <v>314.043.113,86</v>
      </c>
      <c r="V6" s="28" t="str">
        <f>[159]Log!$J$2</f>
        <v>47.021.289,99</v>
      </c>
      <c r="W6" s="28" t="str">
        <f>[159]Log!$N$2</f>
        <v>71.928.700,54</v>
      </c>
      <c r="X6" s="32">
        <f t="shared" si="8"/>
        <v>0</v>
      </c>
      <c r="Y6" s="28"/>
      <c r="Z6" s="33">
        <f t="shared" si="9"/>
        <v>38630.068639141056</v>
      </c>
      <c r="AA6" s="28">
        <f>'[159]Arc Results'!$I$15</f>
        <v>231.08108108108104</v>
      </c>
      <c r="AB6" s="28">
        <f>'[159]Arc Results'!$I$26</f>
        <v>264</v>
      </c>
      <c r="AC6" s="28">
        <f>'[159]Arc Results'!$I$48</f>
        <v>942.87548262548262</v>
      </c>
      <c r="AD6" s="28">
        <f>'[159]Arc Results'!$I$59</f>
        <v>1184.284749034749</v>
      </c>
      <c r="AE6" s="28">
        <f>'[159]Arc Results'!$I$114</f>
        <v>257.18339768339769</v>
      </c>
      <c r="AF6" s="28">
        <f>'[159]Arc Results'!$I$125</f>
        <v>282.70463320463318</v>
      </c>
      <c r="AG6" s="28">
        <f>'[159]Arc Results'!$I$147</f>
        <v>2863.6534749034749</v>
      </c>
      <c r="AH6" s="28">
        <f>'[159]Arc Results'!$I$158</f>
        <v>3260.3465250965228</v>
      </c>
      <c r="AI6" s="28">
        <f>'[159]Arc Results'!$I$213</f>
        <v>4744.6239796815989</v>
      </c>
      <c r="AJ6" s="28">
        <f>'[159]Arc Results'!$I$224</f>
        <v>5060.135135135135</v>
      </c>
      <c r="AK6" s="28">
        <f>'[159]Arc Results'!$I$180</f>
        <v>3063</v>
      </c>
      <c r="AL6" s="28">
        <f>'[159]Arc Results'!$I$191</f>
        <v>3067</v>
      </c>
      <c r="AM6" s="28">
        <f>'[159]Arc Results'!$I$81</f>
        <v>3621.7582046332045</v>
      </c>
      <c r="AN6" s="28">
        <f>'[159]Arc Results'!$I$81</f>
        <v>3621.7582046332045</v>
      </c>
      <c r="AP6" s="9">
        <f t="shared" si="10"/>
        <v>1.0664919751064528</v>
      </c>
      <c r="AQ6" s="9">
        <f t="shared" si="11"/>
        <v>1.1134889900705074</v>
      </c>
      <c r="AR6" s="9">
        <f t="shared" si="12"/>
        <v>1.047271348985561</v>
      </c>
      <c r="AS6" s="9">
        <f t="shared" si="13"/>
        <v>1.0647767880785513</v>
      </c>
      <c r="AT6" s="9">
        <f t="shared" si="14"/>
        <v>1.0321793887803672</v>
      </c>
      <c r="AU6" s="9">
        <f t="shared" si="15"/>
        <v>1.000652528548124</v>
      </c>
      <c r="AV6" s="9">
        <f t="shared" si="16"/>
        <v>1</v>
      </c>
    </row>
    <row r="7" spans="1:48" ht="15.75">
      <c r="A7">
        <f t="shared" ref="A7:A56" si="17">A6+1</f>
        <v>3</v>
      </c>
      <c r="B7" s="9">
        <v>2020</v>
      </c>
      <c r="C7" s="9" t="s">
        <v>4</v>
      </c>
      <c r="D7" s="9" t="s">
        <v>5</v>
      </c>
      <c r="E7" s="7" t="s">
        <v>6</v>
      </c>
      <c r="F7" s="7" t="s">
        <v>77</v>
      </c>
      <c r="G7" s="7" t="s">
        <v>8</v>
      </c>
      <c r="H7" s="7" t="s">
        <v>9</v>
      </c>
      <c r="I7" s="9" t="s">
        <v>45</v>
      </c>
      <c r="J7" s="9">
        <v>500</v>
      </c>
      <c r="K7" s="9">
        <v>0.8</v>
      </c>
      <c r="L7" s="28">
        <f>'[160]Arc Results'!$I$10960+'[160]Arc Results'!$I$10971+'[160]Arc Results'!$I$10982+'[160]Arc Results'!$I$10993+'[160]Arc Results'!$I$11004+'[160]Arc Results'!$I$11015+'[160]Arc Results'!$I$11026+'[160]Arc Results'!$I$11037+'[160]Arc Results'!$I$11048+'[160]Arc Results'!$I$11059+'[160]Arc Results'!$I$11070+'[160]Arc Results'!$I$11081+'[160]Arc Results'!$I$11092+'[160]Arc Results'!$I$11103+'[160]Arc Results'!$I$11114+'[160]Arc Results'!$I$11125+'[160]Arc Results'!$I$11136+'[160]Arc Results'!$I$11147+'[160]Arc Results'!$I$11158+'[160]Arc Results'!$I$11169+'[160]Arc Results'!$I$11180+'[160]Arc Results'!$I$11191+'[160]Arc Results'!$I$11202+'[160]Arc Results'!$I$11213+'[160]Arc Results'!$I$11224+'[160]Arc Results'!$I$11235+'[160]Arc Results'!$I$11246+'[160]Arc Results'!$I$11257+'[160]Arc Results'!$I$11268</f>
        <v>3499.443605096511</v>
      </c>
      <c r="M7" s="28">
        <f>'[160]Arc Results'!$I$257</f>
        <v>6165.6637714285735</v>
      </c>
      <c r="N7" s="28">
        <f t="shared" si="1"/>
        <v>5648.2046332046339</v>
      </c>
      <c r="O7" s="28">
        <f t="shared" si="2"/>
        <v>11503.999999999984</v>
      </c>
      <c r="P7" s="28">
        <f t="shared" si="3"/>
        <v>6371.6776061776063</v>
      </c>
      <c r="Q7" s="28">
        <f t="shared" si="4"/>
        <v>1778.9987364047479</v>
      </c>
      <c r="R7" s="28">
        <f t="shared" si="5"/>
        <v>501.6061776061776</v>
      </c>
      <c r="S7" s="28">
        <f t="shared" si="6"/>
        <v>448.86486486486484</v>
      </c>
      <c r="T7" s="28">
        <f t="shared" si="7"/>
        <v>6130</v>
      </c>
      <c r="U7" s="28" t="str">
        <f>[160]Log!$K$2</f>
        <v>301.673.061,34</v>
      </c>
      <c r="V7" s="28" t="str">
        <f>[160]Log!$J$2</f>
        <v>47.021.289,99</v>
      </c>
      <c r="W7" s="28" t="str">
        <f>[160]Log!$N$2</f>
        <v>71.928.700,54</v>
      </c>
      <c r="X7" s="32">
        <f t="shared" si="8"/>
        <v>0</v>
      </c>
      <c r="Y7" s="28"/>
      <c r="Z7" s="33">
        <f t="shared" si="9"/>
        <v>38549.015789686586</v>
      </c>
      <c r="AA7" s="28">
        <f>'[160]Arc Results'!$I$15</f>
        <v>184.86486486486484</v>
      </c>
      <c r="AB7" s="28">
        <f>'[160]Arc Results'!$I$26</f>
        <v>264</v>
      </c>
      <c r="AC7" s="28">
        <f>'[160]Arc Results'!$I$48</f>
        <v>761.81853281853284</v>
      </c>
      <c r="AD7" s="28">
        <f>'[160]Arc Results'!$I$59</f>
        <v>1017.1802035862149</v>
      </c>
      <c r="AE7" s="28">
        <f>'[160]Arc Results'!$I$114</f>
        <v>238.04247104247105</v>
      </c>
      <c r="AF7" s="28">
        <f>'[160]Arc Results'!$I$125</f>
        <v>263.56370656370655</v>
      </c>
      <c r="AG7" s="28">
        <f>'[160]Arc Results'!$I$147</f>
        <v>2808.2818532818533</v>
      </c>
      <c r="AH7" s="28">
        <f>'[160]Arc Results'!$I$158</f>
        <v>2839.9227799227801</v>
      </c>
      <c r="AI7" s="28">
        <f>'[160]Arc Results'!$I$213</f>
        <v>5176.7999999999829</v>
      </c>
      <c r="AJ7" s="28">
        <f>'[160]Arc Results'!$I$224</f>
        <v>6327.2000000000007</v>
      </c>
      <c r="AK7" s="28">
        <f>'[160]Arc Results'!$I$180</f>
        <v>3063</v>
      </c>
      <c r="AL7" s="28">
        <f>'[160]Arc Results'!$I$191</f>
        <v>3066.9999999999995</v>
      </c>
      <c r="AM7" s="28">
        <f>'[160]Arc Results'!$I$81</f>
        <v>3185.8388030888032</v>
      </c>
      <c r="AN7" s="28">
        <f>'[160]Arc Results'!$I$81</f>
        <v>3185.8388030888032</v>
      </c>
      <c r="AP7" s="9">
        <f t="shared" si="10"/>
        <v>1.1763005780346822</v>
      </c>
      <c r="AQ7" s="9">
        <f t="shared" si="11"/>
        <v>1.1435423564626881</v>
      </c>
      <c r="AR7" s="9">
        <f t="shared" si="12"/>
        <v>1.0508790295267711</v>
      </c>
      <c r="AS7" s="9">
        <f t="shared" si="13"/>
        <v>1.0056019441036035</v>
      </c>
      <c r="AT7" s="9">
        <f t="shared" si="14"/>
        <v>1.1000000000000016</v>
      </c>
      <c r="AU7" s="9">
        <f t="shared" si="15"/>
        <v>1.0006525285481238</v>
      </c>
      <c r="AV7" s="9">
        <f t="shared" si="16"/>
        <v>1</v>
      </c>
    </row>
    <row r="8" spans="1:48" ht="15.75">
      <c r="A8">
        <f t="shared" si="17"/>
        <v>4</v>
      </c>
      <c r="B8" s="9">
        <v>2020</v>
      </c>
      <c r="C8" s="9" t="s">
        <v>4</v>
      </c>
      <c r="D8" s="9" t="s">
        <v>5</v>
      </c>
      <c r="E8" s="7" t="s">
        <v>6</v>
      </c>
      <c r="F8" s="7" t="s">
        <v>78</v>
      </c>
      <c r="G8" s="7" t="s">
        <v>8</v>
      </c>
      <c r="H8" s="7" t="s">
        <v>9</v>
      </c>
      <c r="I8" s="9" t="s">
        <v>45</v>
      </c>
      <c r="J8" s="9">
        <v>500</v>
      </c>
      <c r="K8" s="9">
        <v>0.8</v>
      </c>
      <c r="L8" s="28">
        <f>'[161]Arc Results'!$I$10960+'[161]Arc Results'!$I$10971+'[161]Arc Results'!$I$10982+'[161]Arc Results'!$I$10993+'[161]Arc Results'!$I$11004+'[161]Arc Results'!$I$11015+'[161]Arc Results'!$I$11026+'[161]Arc Results'!$I$11037+'[161]Arc Results'!$I$11048+'[161]Arc Results'!$I$11059+'[161]Arc Results'!$I$11070+'[161]Arc Results'!$I$11081+'[161]Arc Results'!$I$11092+'[161]Arc Results'!$I$11103+'[161]Arc Results'!$I$11114+'[161]Arc Results'!$I$11125+'[161]Arc Results'!$I$11136+'[161]Arc Results'!$I$11147+'[161]Arc Results'!$I$11158+'[161]Arc Results'!$I$11169+'[161]Arc Results'!$I$11180+'[161]Arc Results'!$I$11191+'[161]Arc Results'!$I$11202+'[161]Arc Results'!$I$11213+'[161]Arc Results'!$I$11224+'[161]Arc Results'!$I$11235+'[161]Arc Results'!$I$11246+'[161]Arc Results'!$I$11257+'[161]Arc Results'!$I$11268</f>
        <v>3736.1503618533061</v>
      </c>
      <c r="M8" s="28">
        <f>'[161]Arc Results'!$I$257</f>
        <v>6165.6637714285753</v>
      </c>
      <c r="N8" s="28">
        <f t="shared" si="1"/>
        <v>5553.2818532818528</v>
      </c>
      <c r="O8" s="28">
        <f t="shared" si="2"/>
        <v>8602.8456630792552</v>
      </c>
      <c r="P8" s="28">
        <f t="shared" si="3"/>
        <v>10089.000000000047</v>
      </c>
      <c r="Q8" s="28">
        <f t="shared" si="4"/>
        <v>1040.8185328185327</v>
      </c>
      <c r="R8" s="28">
        <f t="shared" si="5"/>
        <v>425.04247104247099</v>
      </c>
      <c r="S8" s="28">
        <f t="shared" si="6"/>
        <v>204.61621621621617</v>
      </c>
      <c r="T8" s="28">
        <f t="shared" si="7"/>
        <v>6130.0000000000009</v>
      </c>
      <c r="U8" s="28" t="str">
        <f>[161]Log!$K$2</f>
        <v>304.227.476,63</v>
      </c>
      <c r="V8" s="28" t="str">
        <f>[161]Log!$J$2</f>
        <v>47.021.289,99</v>
      </c>
      <c r="W8" s="28" t="str">
        <f>[161]Log!$N$2</f>
        <v>71.928.700,54</v>
      </c>
      <c r="X8" s="32">
        <f t="shared" si="8"/>
        <v>0</v>
      </c>
      <c r="Y8" s="28"/>
      <c r="Z8" s="33">
        <f t="shared" si="9"/>
        <v>38211.268507866946</v>
      </c>
      <c r="AA8" s="28">
        <f>'[161]Arc Results'!$I$15</f>
        <v>46.21621621621621</v>
      </c>
      <c r="AB8" s="28">
        <f>'[161]Arc Results'!$I$26</f>
        <v>158.39999999999998</v>
      </c>
      <c r="AC8" s="28">
        <f>'[161]Arc Results'!$I$48</f>
        <v>399.70463320463318</v>
      </c>
      <c r="AD8" s="28">
        <f>'[161]Arc Results'!$I$59</f>
        <v>641.11389961389966</v>
      </c>
      <c r="AE8" s="28">
        <f>'[161]Arc Results'!$I$114</f>
        <v>199.76061776061775</v>
      </c>
      <c r="AF8" s="28">
        <f>'[161]Arc Results'!$I$125</f>
        <v>225.28185328185327</v>
      </c>
      <c r="AG8" s="28">
        <f>'[161]Arc Results'!$I$147</f>
        <v>2760.8204633204632</v>
      </c>
      <c r="AH8" s="28">
        <f>'[161]Arc Results'!$I$158</f>
        <v>2792.4613899613901</v>
      </c>
      <c r="AI8" s="28">
        <f>'[161]Arc Results'!$I$213</f>
        <v>4141.3513513513517</v>
      </c>
      <c r="AJ8" s="28">
        <f>'[161]Arc Results'!$I$224</f>
        <v>4461.4943117279036</v>
      </c>
      <c r="AK8" s="28">
        <f>'[161]Arc Results'!$I$180</f>
        <v>3063</v>
      </c>
      <c r="AL8" s="28">
        <f>'[161]Arc Results'!$I$191</f>
        <v>3067.0000000000009</v>
      </c>
      <c r="AM8" s="28">
        <f>'[161]Arc Results'!$I$81</f>
        <v>5044.5000000000236</v>
      </c>
      <c r="AN8" s="28">
        <f>'[161]Arc Results'!$I$81</f>
        <v>5044.5000000000236</v>
      </c>
      <c r="AP8" s="9">
        <f t="shared" si="10"/>
        <v>1.548264384213029</v>
      </c>
      <c r="AQ8" s="9">
        <f t="shared" si="11"/>
        <v>1.2319417446915855</v>
      </c>
      <c r="AR8" s="9">
        <f t="shared" si="12"/>
        <v>1.0600439656268736</v>
      </c>
      <c r="AS8" s="9">
        <f t="shared" si="13"/>
        <v>1.0056976986720436</v>
      </c>
      <c r="AT8" s="9">
        <f t="shared" si="14"/>
        <v>1.0372136119738271</v>
      </c>
      <c r="AU8" s="9">
        <f t="shared" si="15"/>
        <v>1.000652528548124</v>
      </c>
      <c r="AV8" s="9">
        <f t="shared" si="16"/>
        <v>1</v>
      </c>
    </row>
    <row r="9" spans="1:48" ht="15.75">
      <c r="A9">
        <f t="shared" si="17"/>
        <v>5</v>
      </c>
      <c r="B9" s="9">
        <v>2020</v>
      </c>
      <c r="C9" s="9" t="s">
        <v>4</v>
      </c>
      <c r="D9" s="9" t="s">
        <v>5</v>
      </c>
      <c r="E9" s="7" t="s">
        <v>6</v>
      </c>
      <c r="F9" s="7" t="s">
        <v>79</v>
      </c>
      <c r="G9" s="7" t="s">
        <v>8</v>
      </c>
      <c r="H9" s="7" t="s">
        <v>9</v>
      </c>
      <c r="I9" s="9" t="s">
        <v>45</v>
      </c>
      <c r="J9" s="9">
        <v>500</v>
      </c>
      <c r="K9" s="9">
        <v>0.8</v>
      </c>
      <c r="L9" s="28">
        <f>'[162]Arc Results'!$I$10960+'[162]Arc Results'!$I$10971+'[162]Arc Results'!$I$10982+'[162]Arc Results'!$I$10993+'[162]Arc Results'!$I$11004+'[162]Arc Results'!$I$11015+'[162]Arc Results'!$I$11026+'[162]Arc Results'!$I$11037+'[162]Arc Results'!$I$11048+'[162]Arc Results'!$I$11059+'[162]Arc Results'!$I$11070+'[162]Arc Results'!$I$11081+'[162]Arc Results'!$I$11092+'[162]Arc Results'!$I$11103+'[162]Arc Results'!$I$11114+'[162]Arc Results'!$I$11125+'[162]Arc Results'!$I$11136+'[162]Arc Results'!$I$11147+'[162]Arc Results'!$I$11158+'[162]Arc Results'!$I$11169+'[162]Arc Results'!$I$11180+'[162]Arc Results'!$I$11191+'[162]Arc Results'!$I$11202+'[162]Arc Results'!$I$11213+'[162]Arc Results'!$I$11224+'[162]Arc Results'!$I$11235+'[162]Arc Results'!$I$11246+'[162]Arc Results'!$I$11257+'[162]Arc Results'!$I$11268</f>
        <v>3971.5277508012937</v>
      </c>
      <c r="M9" s="28">
        <f>'[162]Arc Results'!$I$257</f>
        <v>6165.6637714285844</v>
      </c>
      <c r="N9" s="28">
        <f t="shared" si="1"/>
        <v>5703.5762548262555</v>
      </c>
      <c r="O9" s="28">
        <f t="shared" si="2"/>
        <v>9908.2432432432433</v>
      </c>
      <c r="P9" s="28">
        <f t="shared" si="3"/>
        <v>7254.0143686296087</v>
      </c>
      <c r="Q9" s="28">
        <f t="shared" si="4"/>
        <v>2247.864864864865</v>
      </c>
      <c r="R9" s="28">
        <f t="shared" si="5"/>
        <v>552.64864864864865</v>
      </c>
      <c r="S9" s="28">
        <f t="shared" si="6"/>
        <v>528</v>
      </c>
      <c r="T9" s="28">
        <f t="shared" si="7"/>
        <v>6130</v>
      </c>
      <c r="U9" s="28" t="str">
        <f>[162]Log!$K$2</f>
        <v>326.971.958,67</v>
      </c>
      <c r="V9" s="28" t="str">
        <f>[162]Log!$J$2</f>
        <v>47.021.289,99</v>
      </c>
      <c r="W9" s="28" t="str">
        <f>[162]Log!$N$2</f>
        <v>71.928.700,54</v>
      </c>
      <c r="X9" s="32">
        <f t="shared" si="8"/>
        <v>0</v>
      </c>
      <c r="Y9" s="28"/>
      <c r="Z9" s="33">
        <f t="shared" si="9"/>
        <v>38490.011151641214</v>
      </c>
      <c r="AA9" s="28">
        <f>'[162]Arc Results'!$I$15</f>
        <v>264</v>
      </c>
      <c r="AB9" s="28">
        <f>'[162]Arc Results'!$I$26</f>
        <v>264</v>
      </c>
      <c r="AC9" s="28">
        <f>'[162]Arc Results'!$I$48</f>
        <v>1003.2277992277992</v>
      </c>
      <c r="AD9" s="28">
        <f>'[162]Arc Results'!$I$59</f>
        <v>1244.6370656370657</v>
      </c>
      <c r="AE9" s="28">
        <f>'[162]Arc Results'!$I$114</f>
        <v>263.56370656370655</v>
      </c>
      <c r="AF9" s="28">
        <f>'[162]Arc Results'!$I$125</f>
        <v>289.0849420849421</v>
      </c>
      <c r="AG9" s="28">
        <f>'[162]Arc Results'!$I$147</f>
        <v>2832.0125482625485</v>
      </c>
      <c r="AH9" s="28">
        <f>'[162]Arc Results'!$I$158</f>
        <v>2871.5637065637065</v>
      </c>
      <c r="AI9" s="28">
        <f>'[162]Arc Results'!$I$213</f>
        <v>4777.4324324324325</v>
      </c>
      <c r="AJ9" s="28">
        <f>'[162]Arc Results'!$I$224</f>
        <v>5130.8108108108108</v>
      </c>
      <c r="AK9" s="28">
        <f>'[162]Arc Results'!$I$180</f>
        <v>3063</v>
      </c>
      <c r="AL9" s="28">
        <f>'[162]Arc Results'!$I$191</f>
        <v>3066.9999999999995</v>
      </c>
      <c r="AM9" s="28">
        <f>'[162]Arc Results'!$I$81</f>
        <v>3627.0071843148044</v>
      </c>
      <c r="AN9" s="28">
        <f>'[162]Arc Results'!$I$81</f>
        <v>3627.0071843148044</v>
      </c>
      <c r="AP9" s="9">
        <f t="shared" si="10"/>
        <v>1</v>
      </c>
      <c r="AQ9" s="9">
        <f t="shared" si="11"/>
        <v>1.1073949195890738</v>
      </c>
      <c r="AR9" s="9">
        <f t="shared" si="12"/>
        <v>1.0461798569192935</v>
      </c>
      <c r="AS9" s="9">
        <f t="shared" si="13"/>
        <v>1.0069344489376626</v>
      </c>
      <c r="AT9" s="9">
        <f t="shared" si="14"/>
        <v>1.0356650891286261</v>
      </c>
      <c r="AU9" s="9">
        <f t="shared" si="15"/>
        <v>1.0006525285481238</v>
      </c>
      <c r="AV9" s="9">
        <f t="shared" si="16"/>
        <v>1</v>
      </c>
    </row>
    <row r="10" spans="1:48" ht="15.75">
      <c r="A10">
        <f t="shared" si="17"/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80</v>
      </c>
      <c r="G10" s="7" t="s">
        <v>8</v>
      </c>
      <c r="H10" s="7" t="s">
        <v>9</v>
      </c>
      <c r="I10" s="9" t="s">
        <v>45</v>
      </c>
      <c r="J10" s="9">
        <v>500</v>
      </c>
      <c r="K10" s="9">
        <v>0.8</v>
      </c>
      <c r="L10" s="28">
        <f>'[163]Arc Results'!$I$10960+'[163]Arc Results'!$I$10971+'[163]Arc Results'!$I$10982+'[163]Arc Results'!$I$10993+'[163]Arc Results'!$I$11004+'[163]Arc Results'!$I$11015+'[163]Arc Results'!$I$11026+'[163]Arc Results'!$I$11037+'[163]Arc Results'!$I$11048+'[163]Arc Results'!$I$11059+'[163]Arc Results'!$I$11070+'[163]Arc Results'!$I$11081+'[163]Arc Results'!$I$11092+'[163]Arc Results'!$I$11103+'[163]Arc Results'!$I$11114+'[163]Arc Results'!$I$11125+'[163]Arc Results'!$I$11136+'[163]Arc Results'!$I$11147+'[163]Arc Results'!$I$11158+'[163]Arc Results'!$I$11169+'[163]Arc Results'!$I$11180+'[163]Arc Results'!$I$11191+'[163]Arc Results'!$I$11202+'[163]Arc Results'!$I$11213+'[163]Arc Results'!$I$11224+'[163]Arc Results'!$I$11235+'[163]Arc Results'!$I$11246+'[163]Arc Results'!$I$11257+'[163]Arc Results'!$I$11268</f>
        <v>3965.7601832337227</v>
      </c>
      <c r="M10" s="28">
        <f>'[163]Arc Results'!$I$257</f>
        <v>6165.6637714285707</v>
      </c>
      <c r="N10" s="28">
        <f t="shared" si="1"/>
        <v>5671.9353281853282</v>
      </c>
      <c r="O10" s="28">
        <f t="shared" si="2"/>
        <v>9625.54054054054</v>
      </c>
      <c r="P10" s="28">
        <f t="shared" si="3"/>
        <v>6816.4883686296107</v>
      </c>
      <c r="Q10" s="28">
        <f t="shared" si="4"/>
        <v>3219.9999999999982</v>
      </c>
      <c r="R10" s="28">
        <f t="shared" si="5"/>
        <v>520.74710424710429</v>
      </c>
      <c r="S10" s="28">
        <f t="shared" si="6"/>
        <v>471.97297297297291</v>
      </c>
      <c r="T10" s="28">
        <f t="shared" si="7"/>
        <v>6130.0000000000009</v>
      </c>
      <c r="U10" s="28" t="str">
        <f>[163]Log!$K$2</f>
        <v>320.665.239,91</v>
      </c>
      <c r="V10" s="28" t="str">
        <f>[163]Log!$J$2</f>
        <v>47.021.289,99</v>
      </c>
      <c r="W10" s="28" t="str">
        <f>[163]Log!$N$2</f>
        <v>71.928.700,54</v>
      </c>
      <c r="X10" s="32">
        <f t="shared" si="8"/>
        <v>0</v>
      </c>
      <c r="Y10" s="28"/>
      <c r="Z10" s="33">
        <f t="shared" si="9"/>
        <v>38622.348086004131</v>
      </c>
      <c r="AA10" s="28">
        <f>'[163]Arc Results'!$I$15</f>
        <v>207.97297297297294</v>
      </c>
      <c r="AB10" s="28">
        <f>'[163]Arc Results'!$I$26</f>
        <v>264</v>
      </c>
      <c r="AC10" s="28">
        <f>'[163]Arc Results'!$I$48</f>
        <v>1509.0499999999977</v>
      </c>
      <c r="AD10" s="28">
        <f>'[163]Arc Results'!$I$59</f>
        <v>1710.9500000000003</v>
      </c>
      <c r="AE10" s="28">
        <f>'[163]Arc Results'!$I$114</f>
        <v>244.42277992277991</v>
      </c>
      <c r="AF10" s="28">
        <f>'[163]Arc Results'!$I$125</f>
        <v>276.32432432432432</v>
      </c>
      <c r="AG10" s="28">
        <f>'[163]Arc Results'!$I$147</f>
        <v>2816.1920849420849</v>
      </c>
      <c r="AH10" s="28">
        <f>'[163]Arc Results'!$I$158</f>
        <v>2855.7432432432433</v>
      </c>
      <c r="AI10" s="28">
        <f>'[163]Arc Results'!$I$213</f>
        <v>4636.0810810810808</v>
      </c>
      <c r="AJ10" s="28">
        <f>'[163]Arc Results'!$I$224</f>
        <v>4989.4594594594591</v>
      </c>
      <c r="AK10" s="28">
        <f>'[163]Arc Results'!$I$180</f>
        <v>3063</v>
      </c>
      <c r="AL10" s="28">
        <f>'[163]Arc Results'!$I$191</f>
        <v>3067.0000000000009</v>
      </c>
      <c r="AM10" s="28">
        <f>'[163]Arc Results'!$I$81</f>
        <v>3408.2441843148054</v>
      </c>
      <c r="AN10" s="28">
        <f>'[163]Arc Results'!$I$81</f>
        <v>3408.2441843148054</v>
      </c>
      <c r="AP10" s="9">
        <f t="shared" si="10"/>
        <v>1.1187081257515892</v>
      </c>
      <c r="AQ10" s="9">
        <f t="shared" si="11"/>
        <v>1.0627018633540379</v>
      </c>
      <c r="AR10" s="9">
        <f t="shared" si="12"/>
        <v>1.0612611076304832</v>
      </c>
      <c r="AS10" s="9">
        <f t="shared" si="13"/>
        <v>1.0069731328043567</v>
      </c>
      <c r="AT10" s="9">
        <f t="shared" si="14"/>
        <v>1.0367125749343666</v>
      </c>
      <c r="AU10" s="9">
        <f t="shared" si="15"/>
        <v>1.000652528548124</v>
      </c>
      <c r="AV10" s="9">
        <f t="shared" si="16"/>
        <v>1</v>
      </c>
    </row>
    <row r="11" spans="1:48" ht="15.75">
      <c r="A11">
        <f t="shared" si="17"/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81</v>
      </c>
      <c r="G11" s="7" t="s">
        <v>8</v>
      </c>
      <c r="H11" s="7" t="s">
        <v>9</v>
      </c>
      <c r="I11" s="9" t="s">
        <v>45</v>
      </c>
      <c r="J11" s="9">
        <v>500</v>
      </c>
      <c r="K11" s="9">
        <v>0.8</v>
      </c>
      <c r="L11" s="28">
        <f>'[164]Arc Results'!$I$10960+'[164]Arc Results'!$I$10971+'[164]Arc Results'!$I$10982+'[164]Arc Results'!$I$10993+'[164]Arc Results'!$I$11004+'[164]Arc Results'!$I$11015+'[164]Arc Results'!$I$11026+'[164]Arc Results'!$I$11037+'[164]Arc Results'!$I$11048+'[164]Arc Results'!$I$11059+'[164]Arc Results'!$I$11070+'[164]Arc Results'!$I$11081+'[164]Arc Results'!$I$11092+'[164]Arc Results'!$I$11103+'[164]Arc Results'!$I$11114+'[164]Arc Results'!$I$11125+'[164]Arc Results'!$I$11136+'[164]Arc Results'!$I$11147+'[164]Arc Results'!$I$11158+'[164]Arc Results'!$I$11169+'[164]Arc Results'!$I$11180+'[164]Arc Results'!$I$11191+'[164]Arc Results'!$I$11202+'[164]Arc Results'!$I$11213+'[164]Arc Results'!$I$11224+'[164]Arc Results'!$I$11235+'[164]Arc Results'!$I$11246+'[164]Arc Results'!$I$11257+'[164]Arc Results'!$I$11268</f>
        <v>3968.2519371428602</v>
      </c>
      <c r="M11" s="28">
        <f>'[164]Arc Results'!$I$257</f>
        <v>6165.6637714285971</v>
      </c>
      <c r="N11" s="28">
        <f t="shared" si="1"/>
        <v>5703.5762548262555</v>
      </c>
      <c r="O11" s="28">
        <f t="shared" si="2"/>
        <v>9864.3039989866156</v>
      </c>
      <c r="P11" s="28">
        <f t="shared" si="3"/>
        <v>7243.516409266409</v>
      </c>
      <c r="Q11" s="28">
        <f t="shared" si="4"/>
        <v>2187.5125482625481</v>
      </c>
      <c r="R11" s="28">
        <f t="shared" si="5"/>
        <v>671.99999999999989</v>
      </c>
      <c r="S11" s="28">
        <f t="shared" si="6"/>
        <v>518.18918918918916</v>
      </c>
      <c r="T11" s="28">
        <f t="shared" si="7"/>
        <v>6130</v>
      </c>
      <c r="U11" s="28" t="str">
        <f>[164]Log!$K$2</f>
        <v>326.700.114,68</v>
      </c>
      <c r="V11" s="28" t="str">
        <f>[164]Log!$J$2</f>
        <v>47.021.289,99</v>
      </c>
      <c r="W11" s="28" t="str">
        <f>[164]Log!$N$2</f>
        <v>71.928.700,54</v>
      </c>
      <c r="X11" s="32">
        <f t="shared" si="8"/>
        <v>0</v>
      </c>
      <c r="Y11" s="28"/>
      <c r="Z11" s="33">
        <f t="shared" si="9"/>
        <v>38484.762171959621</v>
      </c>
      <c r="AA11" s="28">
        <f>'[164]Arc Results'!$I$15</f>
        <v>254.18918918918914</v>
      </c>
      <c r="AB11" s="28">
        <f>'[164]Arc Results'!$I$26</f>
        <v>264</v>
      </c>
      <c r="AC11" s="28">
        <f>'[164]Arc Results'!$I$48</f>
        <v>942.87548262548262</v>
      </c>
      <c r="AD11" s="28">
        <f>'[164]Arc Results'!$I$59</f>
        <v>1244.6370656370657</v>
      </c>
      <c r="AE11" s="28">
        <f>'[164]Arc Results'!$I$114</f>
        <v>335.69999999999987</v>
      </c>
      <c r="AF11" s="28">
        <f>'[164]Arc Results'!$I$125</f>
        <v>336.3</v>
      </c>
      <c r="AG11" s="28">
        <f>'[164]Arc Results'!$I$147</f>
        <v>2832.0125482625485</v>
      </c>
      <c r="AH11" s="28">
        <f>'[164]Arc Results'!$I$158</f>
        <v>2871.5637065637065</v>
      </c>
      <c r="AI11" s="28">
        <f>'[164]Arc Results'!$I$213</f>
        <v>4777.4324324324325</v>
      </c>
      <c r="AJ11" s="28">
        <f>'[164]Arc Results'!$I$224</f>
        <v>5086.8715665541822</v>
      </c>
      <c r="AK11" s="28">
        <f>'[164]Arc Results'!$I$180</f>
        <v>3063</v>
      </c>
      <c r="AL11" s="28">
        <f>'[164]Arc Results'!$I$191</f>
        <v>3067</v>
      </c>
      <c r="AM11" s="28">
        <f>'[164]Arc Results'!$I$81</f>
        <v>3621.7582046332045</v>
      </c>
      <c r="AN11" s="28">
        <f>'[164]Arc Results'!$I$81</f>
        <v>3621.7582046332045</v>
      </c>
      <c r="AP11" s="9">
        <f t="shared" si="10"/>
        <v>1.0189328743545611</v>
      </c>
      <c r="AQ11" s="9">
        <f t="shared" si="11"/>
        <v>1.1379473609197168</v>
      </c>
      <c r="AR11" s="9">
        <f t="shared" si="12"/>
        <v>1.0008928571428573</v>
      </c>
      <c r="AS11" s="9">
        <f t="shared" si="13"/>
        <v>1.0069344489376626</v>
      </c>
      <c r="AT11" s="9">
        <f t="shared" si="14"/>
        <v>1.0313695861515966</v>
      </c>
      <c r="AU11" s="9">
        <f t="shared" si="15"/>
        <v>1.000652528548124</v>
      </c>
      <c r="AV11" s="9">
        <f t="shared" si="16"/>
        <v>1</v>
      </c>
    </row>
    <row r="12" spans="1:48" ht="15.75">
      <c r="A12">
        <f t="shared" si="17"/>
        <v>8</v>
      </c>
      <c r="B12" s="9">
        <v>2020</v>
      </c>
      <c r="C12" s="9" t="s">
        <v>4</v>
      </c>
      <c r="D12" s="9" t="s">
        <v>5</v>
      </c>
      <c r="E12" s="7" t="s">
        <v>6</v>
      </c>
      <c r="F12" s="20" t="s">
        <v>82</v>
      </c>
      <c r="G12" s="7" t="s">
        <v>8</v>
      </c>
      <c r="H12" s="7" t="s">
        <v>9</v>
      </c>
      <c r="I12" s="9" t="s">
        <v>45</v>
      </c>
      <c r="J12" s="9">
        <v>500</v>
      </c>
      <c r="K12" s="9">
        <v>0.8</v>
      </c>
      <c r="L12" s="28">
        <f>'[165]Arc Results'!$I$10960+'[165]Arc Results'!$I$10971+'[165]Arc Results'!$I$10982+'[165]Arc Results'!$I$10993+'[165]Arc Results'!$I$11004+'[165]Arc Results'!$I$11015+'[165]Arc Results'!$I$11026+'[165]Arc Results'!$I$11037+'[165]Arc Results'!$I$11048+'[165]Arc Results'!$I$11059+'[165]Arc Results'!$I$11070+'[165]Arc Results'!$I$11081+'[165]Arc Results'!$I$11092+'[165]Arc Results'!$I$11103+'[165]Arc Results'!$I$11114+'[165]Arc Results'!$I$11125+'[165]Arc Results'!$I$11136+'[165]Arc Results'!$I$11147+'[165]Arc Results'!$I$11158+'[165]Arc Results'!$I$11169+'[165]Arc Results'!$I$11180+'[165]Arc Results'!$I$11191+'[165]Arc Results'!$I$11202+'[165]Arc Results'!$I$11213+'[165]Arc Results'!$I$11224+'[165]Arc Results'!$I$11235+'[165]Arc Results'!$I$11246+'[165]Arc Results'!$I$11257+'[165]Arc Results'!$I$11268</f>
        <v>4095.2483657142852</v>
      </c>
      <c r="M12" s="28">
        <f>'[165]Arc Results'!$I$257</f>
        <v>6165.6637714285334</v>
      </c>
      <c r="N12" s="28">
        <f t="shared" si="1"/>
        <v>5490</v>
      </c>
      <c r="O12" s="28">
        <f t="shared" si="2"/>
        <v>9978.9189189189201</v>
      </c>
      <c r="P12" s="28">
        <f t="shared" si="3"/>
        <v>7534.1293436293436</v>
      </c>
      <c r="Q12" s="28">
        <f t="shared" si="4"/>
        <v>2247.864864864865</v>
      </c>
      <c r="R12" s="28">
        <f t="shared" si="5"/>
        <v>552.64864864864865</v>
      </c>
      <c r="S12" s="28">
        <f t="shared" si="6"/>
        <v>528</v>
      </c>
      <c r="T12" s="28">
        <f t="shared" si="7"/>
        <v>6130</v>
      </c>
      <c r="U12" s="28" t="str">
        <f>[165]Log!$K$2</f>
        <v>341.197.996,27</v>
      </c>
      <c r="V12" s="28" t="str">
        <f>[165]Log!$J$2</f>
        <v>47.021.289,99</v>
      </c>
      <c r="W12" s="28" t="str">
        <f>[165]Log!$N$2</f>
        <v>71.928.700,54</v>
      </c>
      <c r="X12" s="32">
        <f t="shared" si="8"/>
        <v>0</v>
      </c>
      <c r="Y12" s="28"/>
      <c r="Z12" s="33">
        <f t="shared" si="9"/>
        <v>38627.225547490307</v>
      </c>
      <c r="AA12" s="28">
        <f>'[165]Arc Results'!$I$15</f>
        <v>264</v>
      </c>
      <c r="AB12" s="28">
        <f>'[165]Arc Results'!$I$26</f>
        <v>264</v>
      </c>
      <c r="AC12" s="28">
        <f>'[165]Arc Results'!$I$48</f>
        <v>1003.2277992277992</v>
      </c>
      <c r="AD12" s="28">
        <f>'[165]Arc Results'!$I$59</f>
        <v>1244.6370656370657</v>
      </c>
      <c r="AE12" s="28">
        <f>'[165]Arc Results'!$I$114</f>
        <v>263.56370656370655</v>
      </c>
      <c r="AF12" s="28">
        <f>'[165]Arc Results'!$I$125</f>
        <v>289.0849420849421</v>
      </c>
      <c r="AG12" s="28">
        <f>'[165]Arc Results'!$I$147</f>
        <v>2745</v>
      </c>
      <c r="AH12" s="28">
        <f>'[165]Arc Results'!$I$158</f>
        <v>2745</v>
      </c>
      <c r="AI12" s="28">
        <f>'[165]Arc Results'!$I$213</f>
        <v>4848.1081081081084</v>
      </c>
      <c r="AJ12" s="28">
        <f>'[165]Arc Results'!$I$224</f>
        <v>5130.8108108108108</v>
      </c>
      <c r="AK12" s="28">
        <f>'[165]Arc Results'!$I$180</f>
        <v>3063</v>
      </c>
      <c r="AL12" s="28">
        <f>'[165]Arc Results'!$I$191</f>
        <v>3067</v>
      </c>
      <c r="AM12" s="28">
        <f>'[165]Arc Results'!$I$81</f>
        <v>3767.0646718146718</v>
      </c>
      <c r="AN12" s="28">
        <f>'[165]Arc Results'!$I$81</f>
        <v>3767.0646718146718</v>
      </c>
      <c r="AP12" s="9">
        <f t="shared" si="10"/>
        <v>1</v>
      </c>
      <c r="AQ12" s="9">
        <f t="shared" si="11"/>
        <v>1.1073949195890738</v>
      </c>
      <c r="AR12" s="9">
        <f t="shared" si="12"/>
        <v>1.0461798569192935</v>
      </c>
      <c r="AS12" s="9">
        <f t="shared" si="13"/>
        <v>1</v>
      </c>
      <c r="AT12" s="9">
        <f t="shared" si="14"/>
        <v>1.0283299929581278</v>
      </c>
      <c r="AU12" s="9">
        <f t="shared" si="15"/>
        <v>1.000652528548124</v>
      </c>
      <c r="AV12" s="9">
        <f t="shared" si="16"/>
        <v>1</v>
      </c>
    </row>
    <row r="13" spans="1:48" ht="15.75">
      <c r="A13">
        <f t="shared" si="17"/>
        <v>9</v>
      </c>
      <c r="B13" s="9">
        <v>2020</v>
      </c>
      <c r="C13" s="9" t="s">
        <v>4</v>
      </c>
      <c r="D13" s="9" t="s">
        <v>5</v>
      </c>
      <c r="E13" s="7" t="s">
        <v>6</v>
      </c>
      <c r="F13" s="20" t="s">
        <v>83</v>
      </c>
      <c r="G13" s="7" t="s">
        <v>8</v>
      </c>
      <c r="H13" s="7" t="s">
        <v>9</v>
      </c>
      <c r="I13" s="9" t="s">
        <v>45</v>
      </c>
      <c r="J13" s="9">
        <v>500</v>
      </c>
      <c r="K13" s="9">
        <v>0.8</v>
      </c>
      <c r="L13" s="28">
        <f>'[166]Arc Results'!$I$10960+'[166]Arc Results'!$I$10971+'[166]Arc Results'!$I$10982+'[166]Arc Results'!$I$10993+'[166]Arc Results'!$I$11004+'[166]Arc Results'!$I$11015+'[166]Arc Results'!$I$11026+'[166]Arc Results'!$I$11037+'[166]Arc Results'!$I$11048+'[166]Arc Results'!$I$11059+'[166]Arc Results'!$I$11070+'[166]Arc Results'!$I$11081+'[166]Arc Results'!$I$11092+'[166]Arc Results'!$I$11103+'[166]Arc Results'!$I$11114+'[166]Arc Results'!$I$11125+'[166]Arc Results'!$I$11136+'[166]Arc Results'!$I$11147+'[166]Arc Results'!$I$11158+'[166]Arc Results'!$I$11169+'[166]Arc Results'!$I$11180+'[166]Arc Results'!$I$11191+'[166]Arc Results'!$I$11202+'[166]Arc Results'!$I$11213+'[166]Arc Results'!$I$11224+'[166]Arc Results'!$I$11235+'[166]Arc Results'!$I$11246+'[166]Arc Results'!$I$11257+'[166]Arc Results'!$I$11268</f>
        <v>4163.6448679184086</v>
      </c>
      <c r="M13" s="28">
        <f>'[166]Arc Results'!$I$257</f>
        <v>6165.6637714285753</v>
      </c>
      <c r="N13" s="28">
        <f t="shared" si="1"/>
        <v>5766.8581081081084</v>
      </c>
      <c r="O13" s="28">
        <f t="shared" si="2"/>
        <v>8058.8963963963961</v>
      </c>
      <c r="P13" s="28">
        <f t="shared" si="3"/>
        <v>8696.5810810810799</v>
      </c>
      <c r="Q13" s="28">
        <f t="shared" si="4"/>
        <v>2686.75847131609</v>
      </c>
      <c r="R13" s="28">
        <f t="shared" si="5"/>
        <v>597.31081081081084</v>
      </c>
      <c r="S13" s="28">
        <f t="shared" si="6"/>
        <v>528</v>
      </c>
      <c r="T13" s="28">
        <f t="shared" si="7"/>
        <v>6130</v>
      </c>
      <c r="U13" s="28" t="str">
        <f>[166]Log!$K$2</f>
        <v>349.021.238,48</v>
      </c>
      <c r="V13" s="28" t="str">
        <f>[166]Log!$J$2</f>
        <v>47.021.289,99</v>
      </c>
      <c r="W13" s="28" t="str">
        <f>[166]Log!$N$2</f>
        <v>71.928.700,54</v>
      </c>
      <c r="X13" s="32">
        <f t="shared" si="8"/>
        <v>0</v>
      </c>
      <c r="Y13" s="28"/>
      <c r="Z13" s="33">
        <f t="shared" si="9"/>
        <v>38630.068639141056</v>
      </c>
      <c r="AA13" s="28">
        <f>'[166]Arc Results'!$I$15</f>
        <v>264</v>
      </c>
      <c r="AB13" s="28">
        <f>'[166]Arc Results'!$I$26</f>
        <v>264</v>
      </c>
      <c r="AC13" s="28">
        <f>'[166]Arc Results'!$I$48</f>
        <v>1200.7121392697579</v>
      </c>
      <c r="AD13" s="28">
        <f>'[166]Arc Results'!$I$59</f>
        <v>1486.0463320463321</v>
      </c>
      <c r="AE13" s="28">
        <f>'[166]Arc Results'!$I$114</f>
        <v>282.70463320463318</v>
      </c>
      <c r="AF13" s="28">
        <f>'[166]Arc Results'!$I$125</f>
        <v>314.6061776061776</v>
      </c>
      <c r="AG13" s="28">
        <f>'[166]Arc Results'!$I$147</f>
        <v>2863.6534749034749</v>
      </c>
      <c r="AH13" s="28">
        <f>'[166]Arc Results'!$I$158</f>
        <v>2903.2046332046334</v>
      </c>
      <c r="AI13" s="28">
        <f>'[166]Arc Results'!$I$213</f>
        <v>4000</v>
      </c>
      <c r="AJ13" s="28">
        <f>'[166]Arc Results'!$I$224</f>
        <v>4058.8963963963965</v>
      </c>
      <c r="AK13" s="28">
        <f>'[166]Arc Results'!$I$180</f>
        <v>3063</v>
      </c>
      <c r="AL13" s="28">
        <f>'[166]Arc Results'!$I$191</f>
        <v>3067</v>
      </c>
      <c r="AM13" s="28">
        <f>'[166]Arc Results'!$I$81</f>
        <v>4348.29054054054</v>
      </c>
      <c r="AN13" s="28">
        <f>'[166]Arc Results'!$I$81</f>
        <v>4348.29054054054</v>
      </c>
      <c r="AP13" s="9">
        <f t="shared" si="10"/>
        <v>1</v>
      </c>
      <c r="AQ13" s="9">
        <f t="shared" si="11"/>
        <v>1.106200164928411</v>
      </c>
      <c r="AR13" s="9">
        <f t="shared" si="12"/>
        <v>1.0534086171288948</v>
      </c>
      <c r="AS13" s="9">
        <f t="shared" si="13"/>
        <v>1.0068583546811305</v>
      </c>
      <c r="AT13" s="9">
        <f t="shared" si="14"/>
        <v>1.0073082458812515</v>
      </c>
      <c r="AU13" s="9">
        <f t="shared" si="15"/>
        <v>1.000652528548124</v>
      </c>
      <c r="AV13" s="9">
        <f t="shared" si="16"/>
        <v>1</v>
      </c>
    </row>
    <row r="14" spans="1:48" ht="15.75">
      <c r="A14">
        <f t="shared" si="17"/>
        <v>10</v>
      </c>
      <c r="B14" s="9">
        <v>2020</v>
      </c>
      <c r="C14" s="9" t="s">
        <v>4</v>
      </c>
      <c r="D14" s="9" t="s">
        <v>5</v>
      </c>
      <c r="E14" s="7" t="s">
        <v>6</v>
      </c>
      <c r="F14" s="20" t="s">
        <v>84</v>
      </c>
      <c r="G14" s="7" t="s">
        <v>8</v>
      </c>
      <c r="H14" s="7" t="s">
        <v>9</v>
      </c>
      <c r="I14" s="9" t="s">
        <v>45</v>
      </c>
      <c r="J14" s="9">
        <v>500</v>
      </c>
      <c r="K14" s="9">
        <v>0.8</v>
      </c>
      <c r="L14" s="28">
        <f>'[167]Arc Results'!$I$10960+'[167]Arc Results'!$I$10971+'[167]Arc Results'!$I$10982+'[167]Arc Results'!$I$10993+'[167]Arc Results'!$I$11004+'[167]Arc Results'!$I$11015+'[167]Arc Results'!$I$11026+'[167]Arc Results'!$I$11037+'[167]Arc Results'!$I$11048+'[167]Arc Results'!$I$11059+'[167]Arc Results'!$I$11070+'[167]Arc Results'!$I$11081+'[167]Arc Results'!$I$11092+'[167]Arc Results'!$I$11103+'[167]Arc Results'!$I$11114+'[167]Arc Results'!$I$11125+'[167]Arc Results'!$I$11136+'[167]Arc Results'!$I$11147+'[167]Arc Results'!$I$11158+'[167]Arc Results'!$I$11169+'[167]Arc Results'!$I$11180+'[167]Arc Results'!$I$11191+'[167]Arc Results'!$I$11202+'[167]Arc Results'!$I$11213+'[167]Arc Results'!$I$11224+'[167]Arc Results'!$I$11235+'[167]Arc Results'!$I$11246+'[167]Arc Results'!$I$11257+'[167]Arc Results'!$I$11268</f>
        <v>3564.5676707335856</v>
      </c>
      <c r="M14" s="28">
        <f>'[167]Arc Results'!$I$257</f>
        <v>6165.6637714285798</v>
      </c>
      <c r="N14" s="28">
        <f t="shared" si="1"/>
        <v>6124.0000000000036</v>
      </c>
      <c r="O14" s="28">
        <f t="shared" si="2"/>
        <v>11503.999999999996</v>
      </c>
      <c r="P14" s="28">
        <f t="shared" si="3"/>
        <v>4628</v>
      </c>
      <c r="Q14" s="28">
        <f t="shared" si="4"/>
        <v>3136.6440154440156</v>
      </c>
      <c r="R14" s="28">
        <f t="shared" si="5"/>
        <v>644.5258687258688</v>
      </c>
      <c r="S14" s="28">
        <f t="shared" si="6"/>
        <v>528</v>
      </c>
      <c r="T14" s="28">
        <f t="shared" si="7"/>
        <v>6130</v>
      </c>
      <c r="U14" s="28" t="str">
        <f>[167]Log!$K$2</f>
        <v>343.462.380,16</v>
      </c>
      <c r="V14" s="28" t="str">
        <f>[167]Log!$J$2</f>
        <v>47.021.289,99</v>
      </c>
      <c r="W14" s="28" t="str">
        <f>[167]Log!$N$2</f>
        <v>71.928.700,54</v>
      </c>
      <c r="X14" s="32">
        <f t="shared" si="8"/>
        <v>0</v>
      </c>
      <c r="Y14" s="28"/>
      <c r="Z14" s="33">
        <f t="shared" si="9"/>
        <v>38860.833655598464</v>
      </c>
      <c r="AA14" s="28">
        <f>'[167]Arc Results'!$I$15</f>
        <v>264</v>
      </c>
      <c r="AB14" s="28">
        <f>'[167]Arc Results'!$I$26</f>
        <v>264</v>
      </c>
      <c r="AC14" s="28">
        <f>'[167]Arc Results'!$I$48</f>
        <v>1425.6940154440153</v>
      </c>
      <c r="AD14" s="28">
        <f>'[167]Arc Results'!$I$59</f>
        <v>1710.9500000000003</v>
      </c>
      <c r="AE14" s="28">
        <f>'[167]Arc Results'!$I$114</f>
        <v>308.22586872586874</v>
      </c>
      <c r="AF14" s="28">
        <f>'[167]Arc Results'!$I$125</f>
        <v>336.3</v>
      </c>
      <c r="AG14" s="28">
        <f>'[167]Arc Results'!$I$147</f>
        <v>2871.5637065637065</v>
      </c>
      <c r="AH14" s="28">
        <f>'[167]Arc Results'!$I$158</f>
        <v>3252.4362934362971</v>
      </c>
      <c r="AI14" s="28">
        <f>'[167]Arc Results'!$I$213</f>
        <v>5176.7999999999947</v>
      </c>
      <c r="AJ14" s="28">
        <f>'[167]Arc Results'!$I$224</f>
        <v>6327.2000000000007</v>
      </c>
      <c r="AK14" s="28">
        <f>'[167]Arc Results'!$I$180</f>
        <v>3063</v>
      </c>
      <c r="AL14" s="28">
        <f>'[167]Arc Results'!$I$191</f>
        <v>3067</v>
      </c>
      <c r="AM14" s="28">
        <f>'[167]Arc Results'!$I$81</f>
        <v>2314</v>
      </c>
      <c r="AN14" s="28">
        <f>'[167]Arc Results'!$I$81</f>
        <v>2314</v>
      </c>
      <c r="AP14" s="9">
        <f t="shared" si="10"/>
        <v>1</v>
      </c>
      <c r="AQ14" s="9">
        <f t="shared" si="11"/>
        <v>1.0909430535156235</v>
      </c>
      <c r="AR14" s="9">
        <f t="shared" si="12"/>
        <v>1.0435578037071338</v>
      </c>
      <c r="AS14" s="9">
        <f t="shared" si="13"/>
        <v>1.0621934335193648</v>
      </c>
      <c r="AT14" s="9">
        <f t="shared" si="14"/>
        <v>1.1000000000000005</v>
      </c>
      <c r="AU14" s="9">
        <f t="shared" si="15"/>
        <v>1.000652528548124</v>
      </c>
      <c r="AV14" s="9">
        <f t="shared" si="16"/>
        <v>1</v>
      </c>
    </row>
    <row r="15" spans="1:48" ht="15.75">
      <c r="A15">
        <f t="shared" si="17"/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20" t="s">
        <v>85</v>
      </c>
      <c r="G15" s="7" t="s">
        <v>8</v>
      </c>
      <c r="H15" s="7" t="s">
        <v>9</v>
      </c>
      <c r="I15" s="9" t="s">
        <v>45</v>
      </c>
      <c r="J15" s="9">
        <v>500</v>
      </c>
      <c r="K15" s="9">
        <v>0.8</v>
      </c>
      <c r="L15" s="28">
        <f>'[168]Arc Results'!$I$10960+'[168]Arc Results'!$I$10971+'[168]Arc Results'!$I$10982+'[168]Arc Results'!$I$10993+'[168]Arc Results'!$I$11004+'[168]Arc Results'!$I$11015+'[168]Arc Results'!$I$11026+'[168]Arc Results'!$I$11037+'[168]Arc Results'!$I$11048+'[168]Arc Results'!$I$11059+'[168]Arc Results'!$I$11070+'[168]Arc Results'!$I$11081+'[168]Arc Results'!$I$11092+'[168]Arc Results'!$I$11103+'[168]Arc Results'!$I$11114+'[168]Arc Results'!$I$11125+'[168]Arc Results'!$I$11136+'[168]Arc Results'!$I$11147+'[168]Arc Results'!$I$11158+'[168]Arc Results'!$I$11169+'[168]Arc Results'!$I$11180+'[168]Arc Results'!$I$11191+'[168]Arc Results'!$I$11202+'[168]Arc Results'!$I$11213+'[168]Arc Results'!$I$11224+'[168]Arc Results'!$I$11235+'[168]Arc Results'!$I$11246+'[168]Arc Results'!$I$11257+'[168]Arc Results'!$I$11268</f>
        <v>3944.9027508012923</v>
      </c>
      <c r="M15" s="28">
        <f>'[168]Arc Results'!$I$257</f>
        <v>6165.6637714285853</v>
      </c>
      <c r="N15" s="28">
        <f t="shared" si="1"/>
        <v>5719.3967181467178</v>
      </c>
      <c r="O15" s="28">
        <f t="shared" si="2"/>
        <v>10049.594594594595</v>
      </c>
      <c r="P15" s="28">
        <f t="shared" si="3"/>
        <v>7534.1293436293436</v>
      </c>
      <c r="Q15" s="28">
        <f t="shared" si="4"/>
        <v>2326.9487866314066</v>
      </c>
      <c r="R15" s="28">
        <f t="shared" si="5"/>
        <v>559.02895752895756</v>
      </c>
      <c r="S15" s="28">
        <f t="shared" si="6"/>
        <v>0</v>
      </c>
      <c r="T15" s="28">
        <f t="shared" si="7"/>
        <v>6130</v>
      </c>
      <c r="U15" s="28" t="str">
        <f>[168]Log!$K$2</f>
        <v>328.843.671,97</v>
      </c>
      <c r="V15" s="28" t="str">
        <f>[168]Log!$J$2</f>
        <v>47.021.289,99</v>
      </c>
      <c r="W15" s="28" t="str">
        <f>[168]Log!$N$2</f>
        <v>71.928.700,54</v>
      </c>
      <c r="X15" s="32">
        <f t="shared" si="8"/>
        <v>0</v>
      </c>
      <c r="Y15" s="28"/>
      <c r="Z15" s="33">
        <f t="shared" si="9"/>
        <v>38484.762171959606</v>
      </c>
      <c r="AA15" s="28">
        <f>'[168]Arc Results'!$I$15</f>
        <v>0</v>
      </c>
      <c r="AB15" s="28">
        <f>'[168]Arc Results'!$I$26</f>
        <v>0</v>
      </c>
      <c r="AC15" s="28">
        <f>'[168]Arc Results'!$I$48</f>
        <v>1021.9594043920243</v>
      </c>
      <c r="AD15" s="28">
        <f>'[168]Arc Results'!$I$59</f>
        <v>1304.9893822393822</v>
      </c>
      <c r="AE15" s="28">
        <f>'[168]Arc Results'!$I$114</f>
        <v>263.56370656370655</v>
      </c>
      <c r="AF15" s="28">
        <f>'[168]Arc Results'!$I$125</f>
        <v>295.46525096525096</v>
      </c>
      <c r="AG15" s="28">
        <f>'[168]Arc Results'!$I$147</f>
        <v>2839.9227799227801</v>
      </c>
      <c r="AH15" s="28">
        <f>'[168]Arc Results'!$I$158</f>
        <v>2879.4739382239381</v>
      </c>
      <c r="AI15" s="28">
        <f>'[168]Arc Results'!$I$213</f>
        <v>4848.1081081081084</v>
      </c>
      <c r="AJ15" s="28">
        <f>'[168]Arc Results'!$I$224</f>
        <v>5201.4864864864867</v>
      </c>
      <c r="AK15" s="28">
        <f>'[168]Arc Results'!$I$180</f>
        <v>3063</v>
      </c>
      <c r="AL15" s="28">
        <f>'[168]Arc Results'!$I$191</f>
        <v>3067</v>
      </c>
      <c r="AM15" s="28">
        <f>'[168]Arc Results'!$I$81</f>
        <v>3767.0646718146718</v>
      </c>
      <c r="AN15" s="28">
        <f>'[168]Arc Results'!$I$81</f>
        <v>3767.0646718146718</v>
      </c>
      <c r="AP15" s="9" t="e">
        <f t="shared" si="10"/>
        <v>#DIV/0!</v>
      </c>
      <c r="AQ15" s="9">
        <f t="shared" si="11"/>
        <v>1.1216313738718264</v>
      </c>
      <c r="AR15" s="9">
        <f t="shared" si="12"/>
        <v>1.0570659962635154</v>
      </c>
      <c r="AS15" s="9">
        <f t="shared" si="13"/>
        <v>1.0069152675098878</v>
      </c>
      <c r="AT15" s="9">
        <f t="shared" si="14"/>
        <v>1.0351634461521912</v>
      </c>
      <c r="AU15" s="9">
        <f t="shared" si="15"/>
        <v>1.000652528548124</v>
      </c>
      <c r="AV15" s="9">
        <f t="shared" si="16"/>
        <v>1</v>
      </c>
    </row>
    <row r="16" spans="1:48" ht="15.75">
      <c r="A16">
        <f t="shared" si="17"/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20" t="s">
        <v>86</v>
      </c>
      <c r="G16" s="7" t="s">
        <v>8</v>
      </c>
      <c r="H16" s="7" t="s">
        <v>9</v>
      </c>
      <c r="I16" s="9" t="s">
        <v>45</v>
      </c>
      <c r="J16" s="9">
        <v>500</v>
      </c>
      <c r="K16" s="9">
        <v>0.8</v>
      </c>
      <c r="L16" s="28">
        <f>'[169]Arc Results'!$I$10960+'[169]Arc Results'!$I$10971+'[169]Arc Results'!$I$10982+'[169]Arc Results'!$I$10993+'[169]Arc Results'!$I$11004+'[169]Arc Results'!$I$11015+'[169]Arc Results'!$I$11026+'[169]Arc Results'!$I$11037+'[169]Arc Results'!$I$11048+'[169]Arc Results'!$I$11059+'[169]Arc Results'!$I$11070+'[169]Arc Results'!$I$11081+'[169]Arc Results'!$I$11092+'[169]Arc Results'!$I$11103+'[169]Arc Results'!$I$11114+'[169]Arc Results'!$I$11125+'[169]Arc Results'!$I$11136+'[169]Arc Results'!$I$11147+'[169]Arc Results'!$I$11158+'[169]Arc Results'!$I$11169+'[169]Arc Results'!$I$11180+'[169]Arc Results'!$I$11191+'[169]Arc Results'!$I$11202+'[169]Arc Results'!$I$11213+'[169]Arc Results'!$I$11224+'[169]Arc Results'!$I$11235+'[169]Arc Results'!$I$11246+'[169]Arc Results'!$I$11257+'[169]Arc Results'!$I$11268</f>
        <v>4156.7613966023191</v>
      </c>
      <c r="M16" s="28">
        <f>'[169]Arc Results'!$I$257</f>
        <v>6165.6637714285898</v>
      </c>
      <c r="N16" s="28">
        <f t="shared" si="1"/>
        <v>5758.9478764478772</v>
      </c>
      <c r="O16" s="28">
        <f t="shared" si="2"/>
        <v>10402.972972972973</v>
      </c>
      <c r="P16" s="28">
        <f t="shared" si="3"/>
        <v>8405.9681467181472</v>
      </c>
      <c r="Q16" s="28">
        <f t="shared" si="4"/>
        <v>608.29359716859722</v>
      </c>
      <c r="R16" s="28">
        <f t="shared" si="5"/>
        <v>590.93050193050192</v>
      </c>
      <c r="S16" s="28">
        <f t="shared" si="6"/>
        <v>528</v>
      </c>
      <c r="T16" s="28">
        <f t="shared" si="7"/>
        <v>6130</v>
      </c>
      <c r="U16" s="28" t="str">
        <f>[169]Log!$K$2</f>
        <v>331.277.679,46</v>
      </c>
      <c r="V16" s="28" t="str">
        <f>[169]Log!$J$2</f>
        <v>47.021.289,99</v>
      </c>
      <c r="W16" s="28" t="str">
        <f>[169]Log!$N$2</f>
        <v>71.928.700,54</v>
      </c>
      <c r="X16" s="32">
        <f t="shared" si="8"/>
        <v>0</v>
      </c>
      <c r="Y16" s="28"/>
      <c r="Z16" s="33">
        <f t="shared" si="9"/>
        <v>38590.776866666689</v>
      </c>
      <c r="AA16" s="28">
        <f>'[169]Arc Results'!$I$15</f>
        <v>264</v>
      </c>
      <c r="AB16" s="28">
        <f>'[169]Arc Results'!$I$26</f>
        <v>264</v>
      </c>
      <c r="AC16" s="28">
        <f>'[169]Arc Results'!$I$48</f>
        <v>279</v>
      </c>
      <c r="AD16" s="28">
        <f>'[169]Arc Results'!$I$59</f>
        <v>329.29359716859716</v>
      </c>
      <c r="AE16" s="28">
        <f>'[169]Arc Results'!$I$114</f>
        <v>282.70463320463318</v>
      </c>
      <c r="AF16" s="28">
        <f>'[169]Arc Results'!$I$125</f>
        <v>308.22586872586874</v>
      </c>
      <c r="AG16" s="28">
        <f>'[169]Arc Results'!$I$147</f>
        <v>2863.6534749034749</v>
      </c>
      <c r="AH16" s="28">
        <f>'[169]Arc Results'!$I$158</f>
        <v>2895.2944015444018</v>
      </c>
      <c r="AI16" s="28">
        <f>'[169]Arc Results'!$I$213</f>
        <v>5060.135135135135</v>
      </c>
      <c r="AJ16" s="28">
        <f>'[169]Arc Results'!$I$224</f>
        <v>5342.8378378378375</v>
      </c>
      <c r="AK16" s="28">
        <f>'[169]Arc Results'!$I$180</f>
        <v>3063</v>
      </c>
      <c r="AL16" s="28">
        <f>'[169]Arc Results'!$I$191</f>
        <v>3067</v>
      </c>
      <c r="AM16" s="28">
        <f>'[169]Arc Results'!$I$81</f>
        <v>4202.9840733590736</v>
      </c>
      <c r="AN16" s="28">
        <f>'[169]Arc Results'!$I$81</f>
        <v>4202.9840733590736</v>
      </c>
      <c r="AP16" s="9">
        <f t="shared" si="10"/>
        <v>1</v>
      </c>
      <c r="AQ16" s="9">
        <f t="shared" si="11"/>
        <v>1.0826798069266172</v>
      </c>
      <c r="AR16" s="9">
        <f t="shared" si="12"/>
        <v>1.0431882183063161</v>
      </c>
      <c r="AS16" s="9">
        <f t="shared" si="13"/>
        <v>1.0054942200068049</v>
      </c>
      <c r="AT16" s="9">
        <f t="shared" si="14"/>
        <v>1.027175183809202</v>
      </c>
      <c r="AU16" s="9">
        <f t="shared" si="15"/>
        <v>1.000652528548124</v>
      </c>
      <c r="AV16" s="9">
        <f t="shared" si="16"/>
        <v>1</v>
      </c>
    </row>
    <row r="17" spans="1:48" ht="15.75">
      <c r="A17">
        <f t="shared" si="17"/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20" t="s">
        <v>87</v>
      </c>
      <c r="G17" s="7" t="s">
        <v>8</v>
      </c>
      <c r="H17" s="7" t="s">
        <v>9</v>
      </c>
      <c r="I17" s="9" t="s">
        <v>45</v>
      </c>
      <c r="J17" s="9">
        <v>500</v>
      </c>
      <c r="K17" s="9">
        <v>0.8</v>
      </c>
      <c r="L17" s="28">
        <f>'[170]Arc Results'!$I$10960+'[170]Arc Results'!$I$10971+'[170]Arc Results'!$I$10982+'[170]Arc Results'!$I$10993+'[170]Arc Results'!$I$11004+'[170]Arc Results'!$I$11015+'[170]Arc Results'!$I$11026+'[170]Arc Results'!$I$11037+'[170]Arc Results'!$I$11048+'[170]Arc Results'!$I$11059+'[170]Arc Results'!$I$11070+'[170]Arc Results'!$I$11081+'[170]Arc Results'!$I$11092+'[170]Arc Results'!$I$11103+'[170]Arc Results'!$I$11114+'[170]Arc Results'!$I$11125+'[170]Arc Results'!$I$11136+'[170]Arc Results'!$I$11147+'[170]Arc Results'!$I$11158+'[170]Arc Results'!$I$11169+'[170]Arc Results'!$I$11180+'[170]Arc Results'!$I$11191+'[170]Arc Results'!$I$11202+'[170]Arc Results'!$I$11213+'[170]Arc Results'!$I$11224+'[170]Arc Results'!$I$11235+'[170]Arc Results'!$I$11246+'[170]Arc Results'!$I$11257+'[170]Arc Results'!$I$11268</f>
        <v>4073.6126928862341</v>
      </c>
      <c r="M17" s="28">
        <f>'[170]Arc Results'!$I$257</f>
        <v>6165.6637714285707</v>
      </c>
      <c r="N17" s="28">
        <f t="shared" si="1"/>
        <v>5711.4864864864867</v>
      </c>
      <c r="O17" s="28">
        <f t="shared" si="2"/>
        <v>9948.7349835426012</v>
      </c>
      <c r="P17" s="28">
        <f t="shared" si="3"/>
        <v>7534.1293436293436</v>
      </c>
      <c r="Q17" s="28">
        <f t="shared" si="4"/>
        <v>2247.864864864865</v>
      </c>
      <c r="R17" s="28">
        <f t="shared" si="5"/>
        <v>374.00000000000045</v>
      </c>
      <c r="S17" s="28">
        <f t="shared" si="6"/>
        <v>518.18918918918916</v>
      </c>
      <c r="T17" s="28">
        <f t="shared" si="7"/>
        <v>6130</v>
      </c>
      <c r="U17" s="28" t="str">
        <f>[170]Log!$K$2</f>
        <v>329.247.498,52</v>
      </c>
      <c r="V17" s="28" t="str">
        <f>[170]Log!$J$2</f>
        <v>47.021.289,99</v>
      </c>
      <c r="W17" s="28" t="str">
        <f>[170]Log!$N$2</f>
        <v>71.928.700,54</v>
      </c>
      <c r="X17" s="32">
        <f t="shared" si="8"/>
        <v>0</v>
      </c>
      <c r="Y17" s="28"/>
      <c r="Z17" s="33">
        <f t="shared" si="9"/>
        <v>38630.068639141056</v>
      </c>
      <c r="AA17" s="28">
        <f>'[170]Arc Results'!$I$15</f>
        <v>254.18918918918914</v>
      </c>
      <c r="AB17" s="28">
        <f>'[170]Arc Results'!$I$26</f>
        <v>264</v>
      </c>
      <c r="AC17" s="28">
        <f>'[170]Arc Results'!$I$48</f>
        <v>1003.2277992277992</v>
      </c>
      <c r="AD17" s="28">
        <f>'[170]Arc Results'!$I$59</f>
        <v>1244.6370656370657</v>
      </c>
      <c r="AE17" s="28">
        <f>'[170]Arc Results'!$I$114</f>
        <v>187</v>
      </c>
      <c r="AF17" s="28">
        <f>'[170]Arc Results'!$I$125</f>
        <v>187.00000000000048</v>
      </c>
      <c r="AG17" s="28">
        <f>'[170]Arc Results'!$I$147</f>
        <v>2839.9227799227801</v>
      </c>
      <c r="AH17" s="28">
        <f>'[170]Arc Results'!$I$158</f>
        <v>2871.5637065637065</v>
      </c>
      <c r="AI17" s="28">
        <f>'[170]Arc Results'!$I$213</f>
        <v>4817.9241727317903</v>
      </c>
      <c r="AJ17" s="28">
        <f>'[170]Arc Results'!$I$224</f>
        <v>5130.8108108108108</v>
      </c>
      <c r="AK17" s="28">
        <f>'[170]Arc Results'!$I$180</f>
        <v>3063</v>
      </c>
      <c r="AL17" s="28">
        <f>'[170]Arc Results'!$I$191</f>
        <v>3067</v>
      </c>
      <c r="AM17" s="28">
        <f>'[170]Arc Results'!$I$81</f>
        <v>3767.0646718146718</v>
      </c>
      <c r="AN17" s="28">
        <f>'[170]Arc Results'!$I$81</f>
        <v>3767.0646718146718</v>
      </c>
      <c r="AP17" s="9">
        <f t="shared" si="10"/>
        <v>1.0189328743545611</v>
      </c>
      <c r="AQ17" s="9">
        <f t="shared" si="11"/>
        <v>1.1073949195890738</v>
      </c>
      <c r="AR17" s="9">
        <f t="shared" si="12"/>
        <v>1.0000000000000013</v>
      </c>
      <c r="AS17" s="9">
        <f t="shared" si="13"/>
        <v>1.0055398759527472</v>
      </c>
      <c r="AT17" s="9">
        <f t="shared" si="14"/>
        <v>1.0314498917296122</v>
      </c>
      <c r="AU17" s="9">
        <f t="shared" si="15"/>
        <v>1.000652528548124</v>
      </c>
      <c r="AV17" s="9">
        <f t="shared" si="16"/>
        <v>1</v>
      </c>
    </row>
    <row r="18" spans="1:48" ht="15.75">
      <c r="A18">
        <f t="shared" si="17"/>
        <v>14</v>
      </c>
      <c r="B18" s="9">
        <v>2020</v>
      </c>
      <c r="C18" s="9" t="s">
        <v>4</v>
      </c>
      <c r="D18" s="9" t="s">
        <v>88</v>
      </c>
      <c r="E18" s="7" t="s">
        <v>6</v>
      </c>
      <c r="F18" s="20" t="s">
        <v>7</v>
      </c>
      <c r="G18" s="7" t="s">
        <v>8</v>
      </c>
      <c r="H18" s="7" t="s">
        <v>9</v>
      </c>
      <c r="I18" s="9" t="s">
        <v>45</v>
      </c>
      <c r="J18" s="9">
        <v>500</v>
      </c>
      <c r="K18" s="9">
        <v>0.8</v>
      </c>
      <c r="L18" s="28">
        <f>'[171]Arc Results'!$I$10960+'[171]Arc Results'!$I$10971+'[171]Arc Results'!$I$10982+'[171]Arc Results'!$I$10993+'[171]Arc Results'!$I$11004+'[171]Arc Results'!$I$11015+'[171]Arc Results'!$I$11026+'[171]Arc Results'!$I$11037+'[171]Arc Results'!$I$11048+'[171]Arc Results'!$I$11059+'[171]Arc Results'!$I$11070+'[171]Arc Results'!$I$11081+'[171]Arc Results'!$I$11092+'[171]Arc Results'!$I$11103+'[171]Arc Results'!$I$11114+'[171]Arc Results'!$I$11125+'[171]Arc Results'!$I$11136+'[171]Arc Results'!$I$11147+'[171]Arc Results'!$I$11158+'[171]Arc Results'!$I$11169+'[171]Arc Results'!$I$11180+'[171]Arc Results'!$I$11191+'[171]Arc Results'!$I$11202+'[171]Arc Results'!$I$11213+'[171]Arc Results'!$I$11224+'[171]Arc Results'!$I$11235+'[171]Arc Results'!$I$11246+'[171]Arc Results'!$I$11257+'[171]Arc Results'!$I$11268</f>
        <v>3273.6919528700919</v>
      </c>
      <c r="M18" s="28">
        <f>'[171]Arc Results'!$I$257</f>
        <v>14299.710171428578</v>
      </c>
      <c r="N18" s="28">
        <f t="shared" si="1"/>
        <v>5588.9783317220526</v>
      </c>
      <c r="O18" s="28">
        <f t="shared" si="2"/>
        <v>8884.8338368580062</v>
      </c>
      <c r="P18" s="28">
        <f t="shared" si="3"/>
        <v>5537.5921450151054</v>
      </c>
      <c r="Q18" s="28">
        <f t="shared" si="4"/>
        <v>1313.5891238670695</v>
      </c>
      <c r="R18" s="28">
        <f t="shared" si="5"/>
        <v>453.87915407854985</v>
      </c>
      <c r="S18" s="28">
        <f t="shared" si="6"/>
        <v>289.30513595166161</v>
      </c>
      <c r="T18" s="28">
        <f t="shared" si="7"/>
        <v>6130</v>
      </c>
      <c r="U18" s="28" t="str">
        <f>[171]Log!$K$2</f>
        <v>340.612.833,07</v>
      </c>
      <c r="V18" s="28" t="str">
        <f>[171]Log!$J$2</f>
        <v>89.447.971,23</v>
      </c>
      <c r="W18" s="28" t="str">
        <f>[171]Log!$N$2</f>
        <v>35.475.755,55</v>
      </c>
      <c r="X18" s="32">
        <f t="shared" si="8"/>
        <v>0</v>
      </c>
      <c r="Y18" s="28"/>
      <c r="Z18" s="33">
        <f t="shared" si="9"/>
        <v>42497.887898921028</v>
      </c>
      <c r="AA18" s="28">
        <f>'[171]Arc Results'!$I$15</f>
        <v>108.48942598187311</v>
      </c>
      <c r="AB18" s="28">
        <f>'[171]Arc Results'!$I$26</f>
        <v>180.81570996978851</v>
      </c>
      <c r="AC18" s="28">
        <f>'[171]Arc Results'!$I$48</f>
        <v>562.34592145015108</v>
      </c>
      <c r="AD18" s="28">
        <f>'[171]Arc Results'!$I$59</f>
        <v>751.24320241691839</v>
      </c>
      <c r="AE18" s="28">
        <f>'[171]Arc Results'!$I$114</f>
        <v>216.95468277945619</v>
      </c>
      <c r="AF18" s="28">
        <f>'[171]Arc Results'!$I$125</f>
        <v>236.92447129909365</v>
      </c>
      <c r="AG18" s="28">
        <f>'[171]Arc Results'!$I$147</f>
        <v>2782.0825613293032</v>
      </c>
      <c r="AH18" s="28">
        <f>'[171]Arc Results'!$I$158</f>
        <v>2806.8957703927495</v>
      </c>
      <c r="AI18" s="28">
        <f>'[171]Arc Results'!$I$213</f>
        <v>4331.8126888217521</v>
      </c>
      <c r="AJ18" s="28">
        <f>'[171]Arc Results'!$I$224</f>
        <v>4553.0211480362541</v>
      </c>
      <c r="AK18" s="28">
        <f>'[171]Arc Results'!$I$180</f>
        <v>3063</v>
      </c>
      <c r="AL18" s="28">
        <f>'[171]Arc Results'!$I$191</f>
        <v>3067</v>
      </c>
      <c r="AM18" s="28">
        <f>'[171]Arc Results'!$I$81</f>
        <v>2768.7960725075527</v>
      </c>
      <c r="AN18" s="28">
        <f>'[171]Arc Results'!$I$81</f>
        <v>2768.7960725075527</v>
      </c>
      <c r="AP18" s="9">
        <f t="shared" si="10"/>
        <v>1.25</v>
      </c>
      <c r="AQ18" s="9">
        <f t="shared" si="11"/>
        <v>1.1438024093947075</v>
      </c>
      <c r="AR18" s="9">
        <f t="shared" si="12"/>
        <v>1.0439980297402718</v>
      </c>
      <c r="AS18" s="9">
        <f t="shared" si="13"/>
        <v>1.0044396681451797</v>
      </c>
      <c r="AT18" s="9">
        <f t="shared" si="14"/>
        <v>1.0248973096488128</v>
      </c>
      <c r="AU18" s="9">
        <f t="shared" si="15"/>
        <v>1.000652528548124</v>
      </c>
      <c r="AV18" s="9">
        <f t="shared" si="16"/>
        <v>1</v>
      </c>
    </row>
    <row r="19" spans="1:48" ht="15.75">
      <c r="A19">
        <f t="shared" si="17"/>
        <v>15</v>
      </c>
      <c r="B19" s="9">
        <v>2020</v>
      </c>
      <c r="C19" s="9" t="s">
        <v>4</v>
      </c>
      <c r="D19" s="9" t="s">
        <v>88</v>
      </c>
      <c r="E19" s="7" t="s">
        <v>6</v>
      </c>
      <c r="F19" s="20" t="s">
        <v>76</v>
      </c>
      <c r="G19" s="7" t="s">
        <v>8</v>
      </c>
      <c r="H19" s="7" t="s">
        <v>9</v>
      </c>
      <c r="I19" s="9" t="s">
        <v>45</v>
      </c>
      <c r="J19" s="9">
        <v>500</v>
      </c>
      <c r="K19" s="9">
        <v>0.8</v>
      </c>
      <c r="L19" s="28">
        <f>'[172]Arc Results'!$I$10960+'[172]Arc Results'!$I$10971+'[172]Arc Results'!$I$10982+'[172]Arc Results'!$I$10993+'[172]Arc Results'!$I$11004+'[172]Arc Results'!$I$11015+'[172]Arc Results'!$I$11026+'[172]Arc Results'!$I$11037+'[172]Arc Results'!$I$11048+'[172]Arc Results'!$I$11059+'[172]Arc Results'!$I$11070+'[172]Arc Results'!$I$11081+'[172]Arc Results'!$I$11092+'[172]Arc Results'!$I$11103+'[172]Arc Results'!$I$11114+'[172]Arc Results'!$I$11125+'[172]Arc Results'!$I$11136+'[172]Arc Results'!$I$11147+'[172]Arc Results'!$I$11158+'[172]Arc Results'!$I$11169+'[172]Arc Results'!$I$11180+'[172]Arc Results'!$I$11191+'[172]Arc Results'!$I$11202+'[172]Arc Results'!$I$11213+'[172]Arc Results'!$I$11224+'[172]Arc Results'!$I$11235+'[172]Arc Results'!$I$11246+'[172]Arc Results'!$I$11257+'[172]Arc Results'!$I$11268</f>
        <v>3072.4157066465264</v>
      </c>
      <c r="M19" s="28">
        <f>'[172]Arc Results'!$I$257</f>
        <v>14299.710171428575</v>
      </c>
      <c r="N19" s="28">
        <f t="shared" si="1"/>
        <v>6124</v>
      </c>
      <c r="O19" s="28">
        <f t="shared" si="2"/>
        <v>8722.7993287009049</v>
      </c>
      <c r="P19" s="28">
        <f t="shared" si="3"/>
        <v>5310.1941087613295</v>
      </c>
      <c r="Q19" s="28">
        <f t="shared" si="4"/>
        <v>1219.1404833836857</v>
      </c>
      <c r="R19" s="28">
        <f t="shared" si="5"/>
        <v>438.90181268882174</v>
      </c>
      <c r="S19" s="28">
        <f t="shared" si="6"/>
        <v>253.1419939577039</v>
      </c>
      <c r="T19" s="28">
        <f t="shared" si="7"/>
        <v>6130</v>
      </c>
      <c r="U19" s="28" t="str">
        <f>[172]Log!$K$2</f>
        <v>323.068.495,31</v>
      </c>
      <c r="V19" s="28" t="str">
        <f>[172]Log!$J$2</f>
        <v>89.447.971,23</v>
      </c>
      <c r="W19" s="28" t="str">
        <f>[172]Log!$N$2</f>
        <v>35.475.755,55</v>
      </c>
      <c r="X19" s="32">
        <f t="shared" si="8"/>
        <v>0</v>
      </c>
      <c r="Y19" s="28"/>
      <c r="Z19" s="33">
        <f t="shared" si="9"/>
        <v>42497.887898921013</v>
      </c>
      <c r="AA19" s="28">
        <f>'[172]Arc Results'!$I$15</f>
        <v>90.407854984894257</v>
      </c>
      <c r="AB19" s="28">
        <f>'[172]Arc Results'!$I$26</f>
        <v>162.73413897280966</v>
      </c>
      <c r="AC19" s="28">
        <f>'[172]Arc Results'!$I$48</f>
        <v>515.1216012084592</v>
      </c>
      <c r="AD19" s="28">
        <f>'[172]Arc Results'!$I$59</f>
        <v>704.01888217522651</v>
      </c>
      <c r="AE19" s="28">
        <f>'[172]Arc Results'!$I$114</f>
        <v>206.96978851963746</v>
      </c>
      <c r="AF19" s="28">
        <f>'[172]Arc Results'!$I$125</f>
        <v>231.93202416918427</v>
      </c>
      <c r="AG19" s="28">
        <f>'[172]Arc Results'!$I$147</f>
        <v>2876.5285120845924</v>
      </c>
      <c r="AH19" s="28">
        <f>'[172]Arc Results'!$I$158</f>
        <v>3247.4714879154076</v>
      </c>
      <c r="AI19" s="28">
        <f>'[172]Arc Results'!$I$213</f>
        <v>4225.0802954682767</v>
      </c>
      <c r="AJ19" s="28">
        <f>'[172]Arc Results'!$I$224</f>
        <v>4497.7190332326281</v>
      </c>
      <c r="AK19" s="28">
        <f>'[172]Arc Results'!$I$180</f>
        <v>3063</v>
      </c>
      <c r="AL19" s="28">
        <f>'[172]Arc Results'!$I$191</f>
        <v>3067</v>
      </c>
      <c r="AM19" s="28">
        <f>'[172]Arc Results'!$I$81</f>
        <v>2655.0970543806648</v>
      </c>
      <c r="AN19" s="28">
        <f>'[172]Arc Results'!$I$81</f>
        <v>2655.0970543806648</v>
      </c>
      <c r="AP19" s="9">
        <f t="shared" si="10"/>
        <v>1.2857142857142858</v>
      </c>
      <c r="AQ19" s="9">
        <f t="shared" si="11"/>
        <v>1.1549429975801384</v>
      </c>
      <c r="AR19" s="9">
        <f t="shared" si="12"/>
        <v>1.056874305204214</v>
      </c>
      <c r="AS19" s="9">
        <f t="shared" si="13"/>
        <v>1.0605720078103877</v>
      </c>
      <c r="AT19" s="9">
        <f t="shared" si="14"/>
        <v>1.0312558764096842</v>
      </c>
      <c r="AU19" s="9">
        <f t="shared" si="15"/>
        <v>1.000652528548124</v>
      </c>
      <c r="AV19" s="9">
        <f t="shared" si="16"/>
        <v>1</v>
      </c>
    </row>
    <row r="20" spans="1:48" ht="15.75">
      <c r="A20">
        <f t="shared" si="17"/>
        <v>16</v>
      </c>
      <c r="B20" s="9">
        <v>2020</v>
      </c>
      <c r="C20" s="9" t="s">
        <v>4</v>
      </c>
      <c r="D20" s="9" t="s">
        <v>88</v>
      </c>
      <c r="E20" s="7" t="s">
        <v>6</v>
      </c>
      <c r="F20" s="20" t="s">
        <v>77</v>
      </c>
      <c r="G20" s="7" t="s">
        <v>8</v>
      </c>
      <c r="H20" s="7" t="s">
        <v>9</v>
      </c>
      <c r="I20" s="9" t="s">
        <v>45</v>
      </c>
      <c r="J20" s="9">
        <v>500</v>
      </c>
      <c r="K20" s="9">
        <v>0.8</v>
      </c>
      <c r="L20" s="28">
        <f>'[173]Arc Results'!$I$10960+'[173]Arc Results'!$I$10971+'[173]Arc Results'!$I$10982+'[173]Arc Results'!$I$10993+'[173]Arc Results'!$I$11004+'[173]Arc Results'!$I$11015+'[173]Arc Results'!$I$11026+'[173]Arc Results'!$I$11037+'[173]Arc Results'!$I$11048+'[173]Arc Results'!$I$11059+'[173]Arc Results'!$I$11070+'[173]Arc Results'!$I$11081+'[173]Arc Results'!$I$11092+'[173]Arc Results'!$I$11103+'[173]Arc Results'!$I$11114+'[173]Arc Results'!$I$11125+'[173]Arc Results'!$I$11136+'[173]Arc Results'!$I$11147+'[173]Arc Results'!$I$11158+'[173]Arc Results'!$I$11169+'[173]Arc Results'!$I$11180+'[173]Arc Results'!$I$11191+'[173]Arc Results'!$I$11202+'[173]Arc Results'!$I$11213+'[173]Arc Results'!$I$11224+'[173]Arc Results'!$I$11235+'[173]Arc Results'!$I$11246+'[173]Arc Results'!$I$11257+'[173]Arc Results'!$I$11268</f>
        <v>3203.3805395770401</v>
      </c>
      <c r="M20" s="28">
        <f>'[173]Arc Results'!$I$257</f>
        <v>14299.710171428584</v>
      </c>
      <c r="N20" s="28">
        <f t="shared" si="1"/>
        <v>5490.0000000000018</v>
      </c>
      <c r="O20" s="28">
        <f t="shared" si="2"/>
        <v>11476.973799999994</v>
      </c>
      <c r="P20" s="28">
        <f t="shared" si="3"/>
        <v>4628</v>
      </c>
      <c r="Q20" s="28">
        <f t="shared" si="4"/>
        <v>558.00000000000045</v>
      </c>
      <c r="R20" s="28">
        <f t="shared" si="5"/>
        <v>374</v>
      </c>
      <c r="S20" s="28">
        <f t="shared" si="6"/>
        <v>0</v>
      </c>
      <c r="T20" s="28">
        <f t="shared" si="7"/>
        <v>6126.0000000000009</v>
      </c>
      <c r="U20" s="28" t="str">
        <f>[173]Log!$K$2</f>
        <v>309.952.573,40</v>
      </c>
      <c r="V20" s="28" t="str">
        <f>[173]Log!$J$2</f>
        <v>89.447.971,23</v>
      </c>
      <c r="W20" s="28" t="str">
        <f>[173]Log!$N$2</f>
        <v>35.475.755,55</v>
      </c>
      <c r="X20" s="32">
        <f t="shared" si="8"/>
        <v>0</v>
      </c>
      <c r="Y20" s="28"/>
      <c r="Z20" s="33">
        <f t="shared" si="9"/>
        <v>42952.683971428582</v>
      </c>
      <c r="AA20" s="28">
        <f>'[173]Arc Results'!$I$15</f>
        <v>0</v>
      </c>
      <c r="AB20" s="28">
        <f>'[173]Arc Results'!$I$26</f>
        <v>0</v>
      </c>
      <c r="AC20" s="28">
        <f>'[173]Arc Results'!$I$48</f>
        <v>279</v>
      </c>
      <c r="AD20" s="28">
        <f>'[173]Arc Results'!$I$59</f>
        <v>279.00000000000051</v>
      </c>
      <c r="AE20" s="28">
        <f>'[173]Arc Results'!$I$114</f>
        <v>187</v>
      </c>
      <c r="AF20" s="28">
        <f>'[173]Arc Results'!$I$125</f>
        <v>187</v>
      </c>
      <c r="AG20" s="28">
        <f>'[173]Arc Results'!$I$147</f>
        <v>2745</v>
      </c>
      <c r="AH20" s="28">
        <f>'[173]Arc Results'!$I$158</f>
        <v>2745.0000000000018</v>
      </c>
      <c r="AI20" s="28">
        <f>'[173]Arc Results'!$I$213</f>
        <v>5175.1699395770393</v>
      </c>
      <c r="AJ20" s="28">
        <f>'[173]Arc Results'!$I$224</f>
        <v>6301.803860422955</v>
      </c>
      <c r="AK20" s="28">
        <f>'[173]Arc Results'!$I$180</f>
        <v>3063</v>
      </c>
      <c r="AL20" s="28">
        <f>'[173]Arc Results'!$I$191</f>
        <v>3063.0000000000009</v>
      </c>
      <c r="AM20" s="28">
        <f>'[173]Arc Results'!$I$81</f>
        <v>2314</v>
      </c>
      <c r="AN20" s="28">
        <f>'[173]Arc Results'!$I$81</f>
        <v>2314</v>
      </c>
      <c r="AP20" s="9" t="e">
        <f t="shared" si="10"/>
        <v>#DIV/0!</v>
      </c>
      <c r="AQ20" s="9">
        <f t="shared" si="11"/>
        <v>1.0000000000000011</v>
      </c>
      <c r="AR20" s="9">
        <f t="shared" si="12"/>
        <v>1</v>
      </c>
      <c r="AS20" s="9">
        <f t="shared" si="13"/>
        <v>1.0000000000000002</v>
      </c>
      <c r="AT20" s="9">
        <f t="shared" si="14"/>
        <v>1.0981647201151505</v>
      </c>
      <c r="AU20" s="9">
        <f t="shared" si="15"/>
        <v>1.0000000000000002</v>
      </c>
      <c r="AV20" s="9">
        <f t="shared" si="16"/>
        <v>1</v>
      </c>
    </row>
    <row r="21" spans="1:48" ht="15.75">
      <c r="A21">
        <f t="shared" si="17"/>
        <v>17</v>
      </c>
      <c r="B21" s="9">
        <v>2020</v>
      </c>
      <c r="C21" s="9" t="s">
        <v>4</v>
      </c>
      <c r="D21" s="9" t="s">
        <v>88</v>
      </c>
      <c r="E21" s="7" t="s">
        <v>6</v>
      </c>
      <c r="F21" s="20" t="s">
        <v>78</v>
      </c>
      <c r="G21" s="7" t="s">
        <v>8</v>
      </c>
      <c r="H21" s="7" t="s">
        <v>9</v>
      </c>
      <c r="I21" s="9" t="s">
        <v>45</v>
      </c>
      <c r="J21" s="9">
        <v>500</v>
      </c>
      <c r="K21" s="9">
        <v>0.8</v>
      </c>
      <c r="L21" s="28">
        <f>'[174]Arc Results'!$I$10960+'[174]Arc Results'!$I$10971+'[174]Arc Results'!$I$10982+'[174]Arc Results'!$I$10993+'[174]Arc Results'!$I$11004+'[174]Arc Results'!$I$11015+'[174]Arc Results'!$I$11026+'[174]Arc Results'!$I$11037+'[174]Arc Results'!$I$11048+'[174]Arc Results'!$I$11059+'[174]Arc Results'!$I$11070+'[174]Arc Results'!$I$11081+'[174]Arc Results'!$I$11092+'[174]Arc Results'!$I$11103+'[174]Arc Results'!$I$11114+'[174]Arc Results'!$I$11125+'[174]Arc Results'!$I$11136+'[174]Arc Results'!$I$11147+'[174]Arc Results'!$I$11158+'[174]Arc Results'!$I$11169+'[174]Arc Results'!$I$11180+'[174]Arc Results'!$I$11191+'[174]Arc Results'!$I$11202+'[174]Arc Results'!$I$11213+'[174]Arc Results'!$I$11224+'[174]Arc Results'!$I$11235+'[174]Arc Results'!$I$11246+'[174]Arc Results'!$I$11257+'[174]Arc Results'!$I$11268</f>
        <v>3449.4483265861058</v>
      </c>
      <c r="M21" s="28">
        <f>'[174]Arc Results'!$I$257</f>
        <v>14299.710171428575</v>
      </c>
      <c r="N21" s="28">
        <f t="shared" si="1"/>
        <v>5490</v>
      </c>
      <c r="O21" s="28">
        <f t="shared" si="2"/>
        <v>8000</v>
      </c>
      <c r="P21" s="28">
        <f t="shared" si="3"/>
        <v>7470.4754531722056</v>
      </c>
      <c r="Q21" s="28">
        <f t="shared" si="4"/>
        <v>558.00000000000045</v>
      </c>
      <c r="R21" s="28">
        <f t="shared" si="5"/>
        <v>374.00000000000006</v>
      </c>
      <c r="S21" s="28">
        <f t="shared" si="6"/>
        <v>0</v>
      </c>
      <c r="T21" s="28">
        <f t="shared" si="7"/>
        <v>6126</v>
      </c>
      <c r="U21" s="28" t="str">
        <f>[174]Log!$K$2</f>
        <v>318.116.350,41</v>
      </c>
      <c r="V21" s="28" t="str">
        <f>[174]Log!$J$2</f>
        <v>89.447.971,23</v>
      </c>
      <c r="W21" s="28" t="str">
        <f>[174]Log!$N$2</f>
        <v>35.475.755,55</v>
      </c>
      <c r="X21" s="32">
        <f t="shared" si="8"/>
        <v>0</v>
      </c>
      <c r="Y21" s="28"/>
      <c r="Z21" s="33">
        <f t="shared" si="9"/>
        <v>42318.185624600781</v>
      </c>
      <c r="AA21" s="28">
        <f>'[174]Arc Results'!$I$15</f>
        <v>0</v>
      </c>
      <c r="AB21" s="28">
        <f>'[174]Arc Results'!$I$26</f>
        <v>0</v>
      </c>
      <c r="AC21" s="28">
        <f>'[174]Arc Results'!$I$48</f>
        <v>279</v>
      </c>
      <c r="AD21" s="28">
        <f>'[174]Arc Results'!$I$59</f>
        <v>279.00000000000045</v>
      </c>
      <c r="AE21" s="28">
        <f>'[174]Arc Results'!$I$114</f>
        <v>187</v>
      </c>
      <c r="AF21" s="28">
        <f>'[174]Arc Results'!$I$125</f>
        <v>187.00000000000006</v>
      </c>
      <c r="AG21" s="28">
        <f>'[174]Arc Results'!$I$147</f>
        <v>2745</v>
      </c>
      <c r="AH21" s="28">
        <f>'[174]Arc Results'!$I$158</f>
        <v>2745</v>
      </c>
      <c r="AI21" s="28">
        <f>'[174]Arc Results'!$I$213</f>
        <v>4000</v>
      </c>
      <c r="AJ21" s="28">
        <f>'[174]Arc Results'!$I$224</f>
        <v>4000</v>
      </c>
      <c r="AK21" s="28">
        <f>'[174]Arc Results'!$I$180</f>
        <v>3063</v>
      </c>
      <c r="AL21" s="28">
        <f>'[174]Arc Results'!$I$191</f>
        <v>3063</v>
      </c>
      <c r="AM21" s="28">
        <f>'[174]Arc Results'!$I$81</f>
        <v>3735.2377265861028</v>
      </c>
      <c r="AN21" s="28">
        <f>'[174]Arc Results'!$I$81</f>
        <v>3735.2377265861028</v>
      </c>
      <c r="AP21" s="9" t="e">
        <f t="shared" si="10"/>
        <v>#DIV/0!</v>
      </c>
      <c r="AQ21" s="9">
        <f t="shared" si="11"/>
        <v>1.0000000000000009</v>
      </c>
      <c r="AR21" s="9">
        <f t="shared" si="12"/>
        <v>1.0000000000000002</v>
      </c>
      <c r="AS21" s="9">
        <f t="shared" si="13"/>
        <v>1</v>
      </c>
      <c r="AT21" s="9">
        <f t="shared" si="14"/>
        <v>1</v>
      </c>
      <c r="AU21" s="9">
        <f t="shared" si="15"/>
        <v>1</v>
      </c>
      <c r="AV21" s="9">
        <f t="shared" si="16"/>
        <v>1</v>
      </c>
    </row>
    <row r="22" spans="1:48" ht="15.75">
      <c r="A22">
        <f t="shared" si="17"/>
        <v>18</v>
      </c>
      <c r="B22" s="9">
        <v>2020</v>
      </c>
      <c r="C22" s="9" t="s">
        <v>4</v>
      </c>
      <c r="D22" s="9" t="s">
        <v>88</v>
      </c>
      <c r="E22" s="7" t="s">
        <v>6</v>
      </c>
      <c r="F22" s="20" t="s">
        <v>79</v>
      </c>
      <c r="G22" s="7" t="s">
        <v>8</v>
      </c>
      <c r="H22" s="7" t="s">
        <v>9</v>
      </c>
      <c r="I22" s="9" t="s">
        <v>45</v>
      </c>
      <c r="J22" s="9">
        <v>500</v>
      </c>
      <c r="K22" s="9">
        <v>0.8</v>
      </c>
      <c r="L22" s="28">
        <f>'[175]Arc Results'!$I$10960+'[175]Arc Results'!$I$10971+'[175]Arc Results'!$I$10982+'[175]Arc Results'!$I$10993+'[175]Arc Results'!$I$11004+'[175]Arc Results'!$I$11015+'[175]Arc Results'!$I$11026+'[175]Arc Results'!$I$11037+'[175]Arc Results'!$I$11048+'[175]Arc Results'!$I$11059+'[175]Arc Results'!$I$11070+'[175]Arc Results'!$I$11081+'[175]Arc Results'!$I$11092+'[175]Arc Results'!$I$11103+'[175]Arc Results'!$I$11114+'[175]Arc Results'!$I$11125+'[175]Arc Results'!$I$11136+'[175]Arc Results'!$I$11147+'[175]Arc Results'!$I$11158+'[175]Arc Results'!$I$11169+'[175]Arc Results'!$I$11180+'[175]Arc Results'!$I$11191+'[175]Arc Results'!$I$11202+'[175]Arc Results'!$I$11213+'[175]Arc Results'!$I$11224+'[175]Arc Results'!$I$11235+'[175]Arc Results'!$I$11246+'[175]Arc Results'!$I$11257+'[175]Arc Results'!$I$11268</f>
        <v>3201.8499504531733</v>
      </c>
      <c r="M22" s="28">
        <f>'[175]Arc Results'!$I$257</f>
        <v>14299.710171428578</v>
      </c>
      <c r="N22" s="28">
        <f t="shared" si="1"/>
        <v>5576.6540785498491</v>
      </c>
      <c r="O22" s="28">
        <f t="shared" si="2"/>
        <v>8829.3714586102687</v>
      </c>
      <c r="P22" s="28">
        <f t="shared" si="3"/>
        <v>5310.1941087613295</v>
      </c>
      <c r="Q22" s="28">
        <f t="shared" si="4"/>
        <v>1266.3648036253776</v>
      </c>
      <c r="R22" s="28">
        <f t="shared" si="5"/>
        <v>443.89425981873109</v>
      </c>
      <c r="S22" s="28">
        <f t="shared" si="6"/>
        <v>528</v>
      </c>
      <c r="T22" s="28">
        <f t="shared" si="7"/>
        <v>6130</v>
      </c>
      <c r="U22" s="28" t="str">
        <f>[175]Log!$K$2</f>
        <v>339.102.521,40</v>
      </c>
      <c r="V22" s="28" t="str">
        <f>[175]Log!$J$2</f>
        <v>89.447.971,23</v>
      </c>
      <c r="W22" s="28" t="str">
        <f>[175]Log!$N$2</f>
        <v>35.475.755,55</v>
      </c>
      <c r="X22" s="32">
        <f t="shared" si="8"/>
        <v>0</v>
      </c>
      <c r="Y22" s="28"/>
      <c r="Z22" s="33">
        <f t="shared" si="9"/>
        <v>42384.188880794129</v>
      </c>
      <c r="AA22" s="28">
        <f>'[175]Arc Results'!$I$15</f>
        <v>264</v>
      </c>
      <c r="AB22" s="28">
        <f>'[175]Arc Results'!$I$26</f>
        <v>264</v>
      </c>
      <c r="AC22" s="28">
        <f>'[175]Arc Results'!$I$48</f>
        <v>515.1216012084592</v>
      </c>
      <c r="AD22" s="28">
        <f>'[175]Arc Results'!$I$59</f>
        <v>751.24320241691839</v>
      </c>
      <c r="AE22" s="28">
        <f>'[175]Arc Results'!$I$114</f>
        <v>211.96223564954681</v>
      </c>
      <c r="AF22" s="28">
        <f>'[175]Arc Results'!$I$125</f>
        <v>231.93202416918427</v>
      </c>
      <c r="AG22" s="28">
        <f>'[175]Arc Results'!$I$147</f>
        <v>2775.9478851963745</v>
      </c>
      <c r="AH22" s="28">
        <f>'[175]Arc Results'!$I$158</f>
        <v>2800.7061933534742</v>
      </c>
      <c r="AI22" s="28">
        <f>'[175]Arc Results'!$I$213</f>
        <v>4276.510574018127</v>
      </c>
      <c r="AJ22" s="28">
        <f>'[175]Arc Results'!$I$224</f>
        <v>4552.8608845921417</v>
      </c>
      <c r="AK22" s="28">
        <f>'[175]Arc Results'!$I$180</f>
        <v>3063</v>
      </c>
      <c r="AL22" s="28">
        <f>'[175]Arc Results'!$I$191</f>
        <v>3067</v>
      </c>
      <c r="AM22" s="28">
        <f>'[175]Arc Results'!$I$81</f>
        <v>2655.0970543806648</v>
      </c>
      <c r="AN22" s="28">
        <f>'[175]Arc Results'!$I$81</f>
        <v>2655.0970543806648</v>
      </c>
      <c r="AP22" s="9">
        <f t="shared" si="10"/>
        <v>1</v>
      </c>
      <c r="AQ22" s="9">
        <f t="shared" si="11"/>
        <v>1.1864562253566153</v>
      </c>
      <c r="AR22" s="9">
        <f t="shared" si="12"/>
        <v>1.0449877151549387</v>
      </c>
      <c r="AS22" s="9">
        <f t="shared" si="13"/>
        <v>1.0044396349151958</v>
      </c>
      <c r="AT22" s="9">
        <f t="shared" si="14"/>
        <v>1.0312989788536444</v>
      </c>
      <c r="AU22" s="9">
        <f t="shared" si="15"/>
        <v>1.000652528548124</v>
      </c>
      <c r="AV22" s="9">
        <f t="shared" si="16"/>
        <v>1</v>
      </c>
    </row>
    <row r="23" spans="1:48" ht="15.75">
      <c r="A23">
        <f t="shared" si="17"/>
        <v>19</v>
      </c>
      <c r="B23" s="9">
        <v>2020</v>
      </c>
      <c r="C23" s="9" t="s">
        <v>4</v>
      </c>
      <c r="D23" s="9" t="s">
        <v>88</v>
      </c>
      <c r="E23" s="7" t="s">
        <v>6</v>
      </c>
      <c r="F23" s="20" t="s">
        <v>80</v>
      </c>
      <c r="G23" s="7" t="s">
        <v>8</v>
      </c>
      <c r="H23" s="7" t="s">
        <v>9</v>
      </c>
      <c r="I23" s="9" t="s">
        <v>45</v>
      </c>
      <c r="J23" s="9">
        <v>500</v>
      </c>
      <c r="K23" s="9">
        <v>0.8</v>
      </c>
      <c r="L23" s="28">
        <f>'[176]Arc Results'!$I$10960+'[176]Arc Results'!$I$10971+'[176]Arc Results'!$I$10982+'[176]Arc Results'!$I$10993+'[176]Arc Results'!$I$11004+'[176]Arc Results'!$I$11015+'[176]Arc Results'!$I$11026+'[176]Arc Results'!$I$11037+'[176]Arc Results'!$I$11048+'[176]Arc Results'!$I$11059+'[176]Arc Results'!$I$11070+'[176]Arc Results'!$I$11081+'[176]Arc Results'!$I$11092+'[176]Arc Results'!$I$11103+'[176]Arc Results'!$I$11114+'[176]Arc Results'!$I$11125+'[176]Arc Results'!$I$11136+'[176]Arc Results'!$I$11147+'[176]Arc Results'!$I$11158+'[176]Arc Results'!$I$11169+'[176]Arc Results'!$I$11180+'[176]Arc Results'!$I$11191+'[176]Arc Results'!$I$11202+'[176]Arc Results'!$I$11213+'[176]Arc Results'!$I$11224+'[176]Arc Results'!$I$11235+'[176]Arc Results'!$I$11246+'[176]Arc Results'!$I$11257+'[176]Arc Results'!$I$11268</f>
        <v>3309.3087957703924</v>
      </c>
      <c r="M23" s="28">
        <f>'[176]Arc Results'!$I$257</f>
        <v>14299.710171428585</v>
      </c>
      <c r="N23" s="28">
        <f t="shared" si="1"/>
        <v>5520.947885196374</v>
      </c>
      <c r="O23" s="28">
        <f t="shared" si="2"/>
        <v>8304.4847516616319</v>
      </c>
      <c r="P23" s="28">
        <f t="shared" si="3"/>
        <v>4628</v>
      </c>
      <c r="Q23" s="28">
        <f t="shared" si="4"/>
        <v>3219.9999999999982</v>
      </c>
      <c r="R23" s="28">
        <f t="shared" si="5"/>
        <v>403.95468277945616</v>
      </c>
      <c r="S23" s="28">
        <f t="shared" si="6"/>
        <v>108.48942598187311</v>
      </c>
      <c r="T23" s="28">
        <f t="shared" si="7"/>
        <v>6126.0000000000009</v>
      </c>
      <c r="U23" s="28" t="str">
        <f>[176]Log!$K$2</f>
        <v>333.061.767,16</v>
      </c>
      <c r="V23" s="28" t="str">
        <f>[176]Log!$J$2</f>
        <v>89.447.971,23</v>
      </c>
      <c r="W23" s="28" t="str">
        <f>[176]Log!$N$2</f>
        <v>35.475.755,55</v>
      </c>
      <c r="X23" s="32">
        <f t="shared" si="8"/>
        <v>0</v>
      </c>
      <c r="Y23" s="28"/>
      <c r="Z23" s="33">
        <f t="shared" si="9"/>
        <v>42611.58691704792</v>
      </c>
      <c r="AA23" s="28">
        <f>'[176]Arc Results'!$I$15</f>
        <v>18.081570996978851</v>
      </c>
      <c r="AB23" s="28">
        <f>'[176]Arc Results'!$I$26</f>
        <v>90.407854984894257</v>
      </c>
      <c r="AC23" s="28">
        <f>'[176]Arc Results'!$I$48</f>
        <v>1509.0499999999979</v>
      </c>
      <c r="AD23" s="28">
        <f>'[176]Arc Results'!$I$59</f>
        <v>1710.9500000000003</v>
      </c>
      <c r="AE23" s="28">
        <f>'[176]Arc Results'!$I$114</f>
        <v>191.99244712990935</v>
      </c>
      <c r="AF23" s="28">
        <f>'[176]Arc Results'!$I$125</f>
        <v>211.96223564954681</v>
      </c>
      <c r="AG23" s="28">
        <f>'[176]Arc Results'!$I$147</f>
        <v>2745</v>
      </c>
      <c r="AH23" s="28">
        <f>'[176]Arc Results'!$I$158</f>
        <v>2775.9478851963745</v>
      </c>
      <c r="AI23" s="28">
        <f>'[176]Arc Results'!$I$213</f>
        <v>4027.9741776435039</v>
      </c>
      <c r="AJ23" s="28">
        <f>'[176]Arc Results'!$I$224</f>
        <v>4276.510574018127</v>
      </c>
      <c r="AK23" s="28">
        <f>'[176]Arc Results'!$I$180</f>
        <v>3063</v>
      </c>
      <c r="AL23" s="28">
        <f>'[176]Arc Results'!$I$191</f>
        <v>3063.0000000000009</v>
      </c>
      <c r="AM23" s="28">
        <f>'[176]Arc Results'!$I$81</f>
        <v>2314</v>
      </c>
      <c r="AN23" s="28">
        <f>'[176]Arc Results'!$I$81</f>
        <v>2314</v>
      </c>
      <c r="AP23" s="9">
        <f t="shared" si="10"/>
        <v>1.6666666666666665</v>
      </c>
      <c r="AQ23" s="9">
        <f t="shared" si="11"/>
        <v>1.0627018633540379</v>
      </c>
      <c r="AR23" s="9">
        <f t="shared" si="12"/>
        <v>1.0494357148733444</v>
      </c>
      <c r="AS23" s="9">
        <f t="shared" si="13"/>
        <v>1.0056055383676701</v>
      </c>
      <c r="AT23" s="9">
        <f t="shared" si="14"/>
        <v>1.0299279731141529</v>
      </c>
      <c r="AU23" s="9">
        <f t="shared" si="15"/>
        <v>1.0000000000000002</v>
      </c>
      <c r="AV23" s="9">
        <f t="shared" si="16"/>
        <v>1</v>
      </c>
    </row>
    <row r="24" spans="1:48" ht="15.75">
      <c r="A24">
        <f t="shared" si="17"/>
        <v>20</v>
      </c>
      <c r="B24" s="9">
        <v>2020</v>
      </c>
      <c r="C24" s="9" t="s">
        <v>4</v>
      </c>
      <c r="D24" s="9" t="s">
        <v>88</v>
      </c>
      <c r="E24" s="7" t="s">
        <v>6</v>
      </c>
      <c r="F24" s="20" t="s">
        <v>81</v>
      </c>
      <c r="G24" s="7" t="s">
        <v>8</v>
      </c>
      <c r="H24" s="7" t="s">
        <v>9</v>
      </c>
      <c r="I24" s="9" t="s">
        <v>45</v>
      </c>
      <c r="J24" s="9">
        <v>500</v>
      </c>
      <c r="K24" s="9">
        <v>0.8</v>
      </c>
      <c r="L24" s="28">
        <f>'[177]Arc Results'!$I$10960+'[177]Arc Results'!$I$10971+'[177]Arc Results'!$I$10982+'[177]Arc Results'!$I$10993+'[177]Arc Results'!$I$11004+'[177]Arc Results'!$I$11015+'[177]Arc Results'!$I$11026+'[177]Arc Results'!$I$11037+'[177]Arc Results'!$I$11048+'[177]Arc Results'!$I$11059+'[177]Arc Results'!$I$11070+'[177]Arc Results'!$I$11081+'[177]Arc Results'!$I$11092+'[177]Arc Results'!$I$11103+'[177]Arc Results'!$I$11114+'[177]Arc Results'!$I$11125+'[177]Arc Results'!$I$11136+'[177]Arc Results'!$I$11147+'[177]Arc Results'!$I$11158+'[177]Arc Results'!$I$11169+'[177]Arc Results'!$I$11180+'[177]Arc Results'!$I$11191+'[177]Arc Results'!$I$11202+'[177]Arc Results'!$I$11213+'[177]Arc Results'!$I$11224+'[177]Arc Results'!$I$11235+'[177]Arc Results'!$I$11246+'[177]Arc Results'!$I$11257+'[177]Arc Results'!$I$11268</f>
        <v>3174.3164241691848</v>
      </c>
      <c r="M24" s="28">
        <f>'[177]Arc Results'!$I$257</f>
        <v>14299.710171428578</v>
      </c>
      <c r="N24" s="28">
        <f t="shared" si="1"/>
        <v>5582.843655589124</v>
      </c>
      <c r="O24" s="28">
        <f t="shared" si="2"/>
        <v>8829.5317220543802</v>
      </c>
      <c r="P24" s="28">
        <f t="shared" si="3"/>
        <v>5310.1941087613295</v>
      </c>
      <c r="Q24" s="28">
        <f t="shared" si="4"/>
        <v>1288.6856580060407</v>
      </c>
      <c r="R24" s="28">
        <f t="shared" si="5"/>
        <v>672.00000000000023</v>
      </c>
      <c r="S24" s="28">
        <f t="shared" si="6"/>
        <v>271.22356495468279</v>
      </c>
      <c r="T24" s="28">
        <f t="shared" si="7"/>
        <v>6130</v>
      </c>
      <c r="U24" s="28" t="str">
        <f>[177]Log!$K$2</f>
        <v>338.855.372,33</v>
      </c>
      <c r="V24" s="28" t="str">
        <f>[177]Log!$J$2</f>
        <v>89.447.971,23</v>
      </c>
      <c r="W24" s="28" t="str">
        <f>[177]Log!$N$2</f>
        <v>35.475.755,55</v>
      </c>
      <c r="X24" s="32">
        <f t="shared" si="8"/>
        <v>0</v>
      </c>
      <c r="Y24" s="28"/>
      <c r="Z24" s="33">
        <f t="shared" si="9"/>
        <v>42384.188880794136</v>
      </c>
      <c r="AA24" s="28">
        <f>'[177]Arc Results'!$I$15</f>
        <v>90.407854984894257</v>
      </c>
      <c r="AB24" s="28">
        <f>'[177]Arc Results'!$I$26</f>
        <v>180.81570996978851</v>
      </c>
      <c r="AC24" s="28">
        <f>'[177]Arc Results'!$I$48</f>
        <v>537.44245558912235</v>
      </c>
      <c r="AD24" s="28">
        <f>'[177]Arc Results'!$I$59</f>
        <v>751.24320241691839</v>
      </c>
      <c r="AE24" s="28">
        <f>'[177]Arc Results'!$I$114</f>
        <v>335.70000000000016</v>
      </c>
      <c r="AF24" s="28">
        <f>'[177]Arc Results'!$I$125</f>
        <v>336.3</v>
      </c>
      <c r="AG24" s="28">
        <f>'[177]Arc Results'!$I$147</f>
        <v>2775.9478851963745</v>
      </c>
      <c r="AH24" s="28">
        <f>'[177]Arc Results'!$I$158</f>
        <v>2806.8957703927495</v>
      </c>
      <c r="AI24" s="28">
        <f>'[177]Arc Results'!$I$213</f>
        <v>4276.510574018127</v>
      </c>
      <c r="AJ24" s="28">
        <f>'[177]Arc Results'!$I$224</f>
        <v>4553.0211480362541</v>
      </c>
      <c r="AK24" s="28">
        <f>'[177]Arc Results'!$I$180</f>
        <v>3063</v>
      </c>
      <c r="AL24" s="28">
        <f>'[177]Arc Results'!$I$191</f>
        <v>3067.0000000000005</v>
      </c>
      <c r="AM24" s="28">
        <f>'[177]Arc Results'!$I$81</f>
        <v>2655.0970543806648</v>
      </c>
      <c r="AN24" s="28">
        <f>'[177]Arc Results'!$I$81</f>
        <v>2655.0970543806648</v>
      </c>
      <c r="AP24" s="9">
        <f t="shared" si="10"/>
        <v>1.3333333333333333</v>
      </c>
      <c r="AQ24" s="9">
        <f t="shared" si="11"/>
        <v>1.1659060497023037</v>
      </c>
      <c r="AR24" s="9">
        <f t="shared" si="12"/>
        <v>1.0008928571428568</v>
      </c>
      <c r="AS24" s="9">
        <f t="shared" si="13"/>
        <v>1.0055433909859526</v>
      </c>
      <c r="AT24" s="9">
        <f t="shared" si="14"/>
        <v>1.0313165615938</v>
      </c>
      <c r="AU24" s="9">
        <f t="shared" si="15"/>
        <v>1.000652528548124</v>
      </c>
      <c r="AV24" s="9">
        <f t="shared" si="16"/>
        <v>1</v>
      </c>
    </row>
    <row r="25" spans="1:48" ht="15.75">
      <c r="A25">
        <f t="shared" si="17"/>
        <v>21</v>
      </c>
      <c r="B25" s="9">
        <v>2020</v>
      </c>
      <c r="C25" s="9" t="s">
        <v>4</v>
      </c>
      <c r="D25" s="9" t="s">
        <v>88</v>
      </c>
      <c r="E25" s="7" t="s">
        <v>6</v>
      </c>
      <c r="F25" s="20" t="s">
        <v>82</v>
      </c>
      <c r="G25" s="7" t="s">
        <v>8</v>
      </c>
      <c r="H25" s="7" t="s">
        <v>9</v>
      </c>
      <c r="I25" s="9" t="s">
        <v>45</v>
      </c>
      <c r="J25" s="9">
        <v>500</v>
      </c>
      <c r="K25" s="9">
        <v>0.8</v>
      </c>
      <c r="L25" s="28">
        <f>'[178]Arc Results'!$I$10960+'[178]Arc Results'!$I$10971+'[178]Arc Results'!$I$10982+'[178]Arc Results'!$I$10993+'[178]Arc Results'!$I$11004+'[178]Arc Results'!$I$11015+'[178]Arc Results'!$I$11026+'[178]Arc Results'!$I$11037+'[178]Arc Results'!$I$11048+'[178]Arc Results'!$I$11059+'[178]Arc Results'!$I$11070+'[178]Arc Results'!$I$11081+'[178]Arc Results'!$I$11092+'[178]Arc Results'!$I$11103+'[178]Arc Results'!$I$11114+'[178]Arc Results'!$I$11125+'[178]Arc Results'!$I$11136+'[178]Arc Results'!$I$11147+'[178]Arc Results'!$I$11158+'[178]Arc Results'!$I$11169+'[178]Arc Results'!$I$11180+'[178]Arc Results'!$I$11191+'[178]Arc Results'!$I$11202+'[178]Arc Results'!$I$11213+'[178]Arc Results'!$I$11224+'[178]Arc Results'!$I$11235+'[178]Arc Results'!$I$11246+'[178]Arc Results'!$I$11257+'[178]Arc Results'!$I$11268</f>
        <v>3236.6093915407878</v>
      </c>
      <c r="M25" s="28">
        <f>'[178]Arc Results'!$I$257</f>
        <v>14299.710171428576</v>
      </c>
      <c r="N25" s="28">
        <f t="shared" si="1"/>
        <v>5490</v>
      </c>
      <c r="O25" s="28">
        <f t="shared" si="2"/>
        <v>8884.8338368580062</v>
      </c>
      <c r="P25" s="28">
        <f t="shared" si="3"/>
        <v>5537.5921450151054</v>
      </c>
      <c r="Q25" s="28">
        <f t="shared" si="4"/>
        <v>1360.8134441087614</v>
      </c>
      <c r="R25" s="28">
        <f t="shared" si="5"/>
        <v>453.87915407854985</v>
      </c>
      <c r="S25" s="28">
        <f t="shared" si="6"/>
        <v>289.30513595166161</v>
      </c>
      <c r="T25" s="28">
        <f t="shared" si="7"/>
        <v>6130</v>
      </c>
      <c r="U25" s="28" t="str">
        <f>[178]Log!$K$2</f>
        <v>357.044.878,44</v>
      </c>
      <c r="V25" s="28" t="str">
        <f>[178]Log!$J$2</f>
        <v>89.447.971,23</v>
      </c>
      <c r="W25" s="28" t="str">
        <f>[178]Log!$N$2</f>
        <v>35.475.755,55</v>
      </c>
      <c r="X25" s="32">
        <f t="shared" si="8"/>
        <v>0</v>
      </c>
      <c r="Y25" s="28"/>
      <c r="Z25" s="33">
        <f t="shared" si="9"/>
        <v>42446.133887440665</v>
      </c>
      <c r="AA25" s="28">
        <f>'[178]Arc Results'!$I$15</f>
        <v>108.48942598187311</v>
      </c>
      <c r="AB25" s="28">
        <f>'[178]Arc Results'!$I$26</f>
        <v>180.81570996978851</v>
      </c>
      <c r="AC25" s="28">
        <f>'[178]Arc Results'!$I$48</f>
        <v>562.34592145015108</v>
      </c>
      <c r="AD25" s="28">
        <f>'[178]Arc Results'!$I$59</f>
        <v>798.46752265861028</v>
      </c>
      <c r="AE25" s="28">
        <f>'[178]Arc Results'!$I$114</f>
        <v>216.95468277945619</v>
      </c>
      <c r="AF25" s="28">
        <f>'[178]Arc Results'!$I$125</f>
        <v>236.92447129909365</v>
      </c>
      <c r="AG25" s="28">
        <f>'[178]Arc Results'!$I$147</f>
        <v>2745</v>
      </c>
      <c r="AH25" s="28">
        <f>'[178]Arc Results'!$I$158</f>
        <v>2745</v>
      </c>
      <c r="AI25" s="28">
        <f>'[178]Arc Results'!$I$213</f>
        <v>4331.8126888217521</v>
      </c>
      <c r="AJ25" s="28">
        <f>'[178]Arc Results'!$I$224</f>
        <v>4553.0211480362541</v>
      </c>
      <c r="AK25" s="28">
        <f>'[178]Arc Results'!$I$180</f>
        <v>3063</v>
      </c>
      <c r="AL25" s="28">
        <f>'[178]Arc Results'!$I$191</f>
        <v>3067</v>
      </c>
      <c r="AM25" s="28">
        <f>'[178]Arc Results'!$I$81</f>
        <v>2768.7960725075527</v>
      </c>
      <c r="AN25" s="28">
        <f>'[178]Arc Results'!$I$81</f>
        <v>2768.7960725075527</v>
      </c>
      <c r="AP25" s="9">
        <f t="shared" si="10"/>
        <v>1.25</v>
      </c>
      <c r="AQ25" s="9">
        <f t="shared" si="11"/>
        <v>1.1735150414854274</v>
      </c>
      <c r="AR25" s="9">
        <f t="shared" si="12"/>
        <v>1.0439980297402718</v>
      </c>
      <c r="AS25" s="9">
        <f t="shared" si="13"/>
        <v>1</v>
      </c>
      <c r="AT25" s="9">
        <f t="shared" si="14"/>
        <v>1.0248973096488128</v>
      </c>
      <c r="AU25" s="9">
        <f t="shared" si="15"/>
        <v>1.000652528548124</v>
      </c>
      <c r="AV25" s="9">
        <f t="shared" si="16"/>
        <v>1</v>
      </c>
    </row>
    <row r="26" spans="1:48" ht="15.75">
      <c r="A26">
        <f t="shared" si="17"/>
        <v>22</v>
      </c>
      <c r="B26" s="9">
        <v>2020</v>
      </c>
      <c r="C26" s="9" t="s">
        <v>4</v>
      </c>
      <c r="D26" s="9" t="s">
        <v>88</v>
      </c>
      <c r="E26" s="7" t="s">
        <v>6</v>
      </c>
      <c r="F26" s="20" t="s">
        <v>83</v>
      </c>
      <c r="G26" s="7" t="s">
        <v>8</v>
      </c>
      <c r="H26" s="7" t="s">
        <v>9</v>
      </c>
      <c r="I26" s="9" t="s">
        <v>45</v>
      </c>
      <c r="J26" s="9">
        <v>500</v>
      </c>
      <c r="K26" s="9">
        <v>0.8</v>
      </c>
      <c r="L26" s="28">
        <f>'[179]Arc Results'!$I$10960+'[179]Arc Results'!$I$10971+'[179]Arc Results'!$I$10982+'[179]Arc Results'!$I$10993+'[179]Arc Results'!$I$11004+'[179]Arc Results'!$I$11015+'[179]Arc Results'!$I$11026+'[179]Arc Results'!$I$11037+'[179]Arc Results'!$I$11048+'[179]Arc Results'!$I$11059+'[179]Arc Results'!$I$11070+'[179]Arc Results'!$I$11081+'[179]Arc Results'!$I$11092+'[179]Arc Results'!$I$11103+'[179]Arc Results'!$I$11114+'[179]Arc Results'!$I$11125+'[179]Arc Results'!$I$11136+'[179]Arc Results'!$I$11147+'[179]Arc Results'!$I$11158+'[179]Arc Results'!$I$11169+'[179]Arc Results'!$I$11180+'[179]Arc Results'!$I$11191+'[179]Arc Results'!$I$11202+'[179]Arc Results'!$I$11213+'[179]Arc Results'!$I$11224+'[179]Arc Results'!$I$11235+'[179]Arc Results'!$I$11246+'[179]Arc Results'!$I$11257+'[179]Arc Results'!$I$11268</f>
        <v>3322.3080320241716</v>
      </c>
      <c r="M26" s="28">
        <f>'[179]Arc Results'!$I$257</f>
        <v>14299.71017142858</v>
      </c>
      <c r="N26" s="28">
        <f t="shared" si="1"/>
        <v>5613.791540785498</v>
      </c>
      <c r="O26" s="28">
        <f t="shared" si="2"/>
        <v>8000</v>
      </c>
      <c r="P26" s="28">
        <f t="shared" si="3"/>
        <v>5992.388217522659</v>
      </c>
      <c r="Q26" s="28">
        <f t="shared" si="4"/>
        <v>1549.7107250755287</v>
      </c>
      <c r="R26" s="28">
        <f t="shared" si="5"/>
        <v>473.84894259818731</v>
      </c>
      <c r="S26" s="28">
        <f t="shared" si="6"/>
        <v>361.63141993957703</v>
      </c>
      <c r="T26" s="28">
        <f t="shared" si="7"/>
        <v>6130</v>
      </c>
      <c r="U26" s="28" t="str">
        <f>[179]Log!$K$2</f>
        <v>365.024.443,60</v>
      </c>
      <c r="V26" s="28" t="str">
        <f>[179]Log!$J$2</f>
        <v>89.447.971,23</v>
      </c>
      <c r="W26" s="28" t="str">
        <f>[179]Log!$N$2</f>
        <v>35.475.755,55</v>
      </c>
      <c r="X26" s="32">
        <f t="shared" si="8"/>
        <v>0</v>
      </c>
      <c r="Y26" s="28"/>
      <c r="Z26" s="33">
        <f t="shared" si="9"/>
        <v>42421.081017350036</v>
      </c>
      <c r="AA26" s="28">
        <f>'[179]Arc Results'!$I$15</f>
        <v>144.65256797583081</v>
      </c>
      <c r="AB26" s="28">
        <f>'[179]Arc Results'!$I$26</f>
        <v>216.97885196374622</v>
      </c>
      <c r="AC26" s="28">
        <f>'[179]Arc Results'!$I$48</f>
        <v>656.79456193353474</v>
      </c>
      <c r="AD26" s="28">
        <f>'[179]Arc Results'!$I$59</f>
        <v>892.91616314199393</v>
      </c>
      <c r="AE26" s="28">
        <f>'[179]Arc Results'!$I$114</f>
        <v>226.93957703927492</v>
      </c>
      <c r="AF26" s="28">
        <f>'[179]Arc Results'!$I$125</f>
        <v>246.90936555891238</v>
      </c>
      <c r="AG26" s="28">
        <f>'[179]Arc Results'!$I$147</f>
        <v>2794.5166163141994</v>
      </c>
      <c r="AH26" s="28">
        <f>'[179]Arc Results'!$I$158</f>
        <v>2819.2749244712991</v>
      </c>
      <c r="AI26" s="28">
        <f>'[179]Arc Results'!$I$213</f>
        <v>4000</v>
      </c>
      <c r="AJ26" s="28">
        <f>'[179]Arc Results'!$I$224</f>
        <v>4000</v>
      </c>
      <c r="AK26" s="28">
        <f>'[179]Arc Results'!$I$180</f>
        <v>3063</v>
      </c>
      <c r="AL26" s="28">
        <f>'[179]Arc Results'!$I$191</f>
        <v>3067</v>
      </c>
      <c r="AM26" s="28">
        <f>'[179]Arc Results'!$I$81</f>
        <v>2996.1941087613295</v>
      </c>
      <c r="AN26" s="28">
        <f>'[179]Arc Results'!$I$81</f>
        <v>2996.1941087613295</v>
      </c>
      <c r="AP26" s="9">
        <f t="shared" si="10"/>
        <v>1.2</v>
      </c>
      <c r="AQ26" s="9">
        <f t="shared" si="11"/>
        <v>1.1523649526249173</v>
      </c>
      <c r="AR26" s="9">
        <f t="shared" si="12"/>
        <v>1.0421437861824487</v>
      </c>
      <c r="AS26" s="9">
        <f t="shared" si="13"/>
        <v>1.0044102649657054</v>
      </c>
      <c r="AT26" s="9">
        <f t="shared" si="14"/>
        <v>1</v>
      </c>
      <c r="AU26" s="9">
        <f t="shared" si="15"/>
        <v>1.000652528548124</v>
      </c>
      <c r="AV26" s="9">
        <f t="shared" si="16"/>
        <v>1</v>
      </c>
    </row>
    <row r="27" spans="1:48" ht="15.75">
      <c r="A27">
        <f t="shared" si="17"/>
        <v>23</v>
      </c>
      <c r="B27" s="9">
        <v>2020</v>
      </c>
      <c r="C27" s="9" t="s">
        <v>4</v>
      </c>
      <c r="D27" s="9" t="s">
        <v>88</v>
      </c>
      <c r="E27" s="7" t="s">
        <v>6</v>
      </c>
      <c r="F27" s="20" t="s">
        <v>84</v>
      </c>
      <c r="G27" s="7" t="s">
        <v>8</v>
      </c>
      <c r="H27" s="7" t="s">
        <v>9</v>
      </c>
      <c r="I27" s="9" t="s">
        <v>45</v>
      </c>
      <c r="J27" s="9">
        <v>500</v>
      </c>
      <c r="K27" s="9">
        <v>0.8</v>
      </c>
      <c r="L27" s="28">
        <f>'[180]Arc Results'!$I$10960+'[180]Arc Results'!$I$10971+'[180]Arc Results'!$I$10982+'[180]Arc Results'!$I$10993+'[180]Arc Results'!$I$11004+'[180]Arc Results'!$I$11015+'[180]Arc Results'!$I$11026+'[180]Arc Results'!$I$11037+'[180]Arc Results'!$I$11048+'[180]Arc Results'!$I$11059+'[180]Arc Results'!$I$11070+'[180]Arc Results'!$I$11081+'[180]Arc Results'!$I$11092+'[180]Arc Results'!$I$11103+'[180]Arc Results'!$I$11114+'[180]Arc Results'!$I$11125+'[180]Arc Results'!$I$11136+'[180]Arc Results'!$I$11147+'[180]Arc Results'!$I$11158+'[180]Arc Results'!$I$11169+'[180]Arc Results'!$I$11180+'[180]Arc Results'!$I$11191+'[180]Arc Results'!$I$11202+'[180]Arc Results'!$I$11213+'[180]Arc Results'!$I$11224+'[180]Arc Results'!$I$11235+'[180]Arc Results'!$I$11246+'[180]Arc Results'!$I$11257+'[180]Arc Results'!$I$11268</f>
        <v>3471.0705117824791</v>
      </c>
      <c r="M27" s="28">
        <f>'[180]Arc Results'!$I$257</f>
        <v>14299.710171428578</v>
      </c>
      <c r="N27" s="28">
        <f t="shared" si="1"/>
        <v>5650.9290030211487</v>
      </c>
      <c r="O27" s="28">
        <f t="shared" si="2"/>
        <v>9431.0245643504495</v>
      </c>
      <c r="P27" s="28">
        <f t="shared" si="3"/>
        <v>4628</v>
      </c>
      <c r="Q27" s="28">
        <f t="shared" si="4"/>
        <v>1785.8323262839879</v>
      </c>
      <c r="R27" s="28">
        <f t="shared" si="5"/>
        <v>503.80362537764347</v>
      </c>
      <c r="S27" s="28">
        <f t="shared" si="6"/>
        <v>462.89728096676737</v>
      </c>
      <c r="T27" s="28">
        <f t="shared" si="7"/>
        <v>6130</v>
      </c>
      <c r="U27" s="28" t="str">
        <f>[180]Log!$K$2</f>
        <v>355.294.099,55</v>
      </c>
      <c r="V27" s="28" t="str">
        <f>[180]Log!$J$2</f>
        <v>89.447.971,23</v>
      </c>
      <c r="W27" s="28" t="str">
        <f>[180]Log!$N$2</f>
        <v>35.475.755,55</v>
      </c>
      <c r="X27" s="32">
        <f t="shared" si="8"/>
        <v>0</v>
      </c>
      <c r="Y27" s="28"/>
      <c r="Z27" s="33">
        <f t="shared" si="9"/>
        <v>42892.196971428581</v>
      </c>
      <c r="AA27" s="28">
        <f>'[180]Arc Results'!$I$15</f>
        <v>198.89728096676737</v>
      </c>
      <c r="AB27" s="28">
        <f>'[180]Arc Results'!$I$26</f>
        <v>264</v>
      </c>
      <c r="AC27" s="28">
        <f>'[180]Arc Results'!$I$48</f>
        <v>798.46752265861028</v>
      </c>
      <c r="AD27" s="28">
        <f>'[180]Arc Results'!$I$59</f>
        <v>987.36480362537759</v>
      </c>
      <c r="AE27" s="28">
        <f>'[180]Arc Results'!$I$114</f>
        <v>241.916918429003</v>
      </c>
      <c r="AF27" s="28">
        <f>'[180]Arc Results'!$I$125</f>
        <v>261.88670694864049</v>
      </c>
      <c r="AG27" s="28">
        <f>'[180]Arc Results'!$I$147</f>
        <v>2813.0853474320243</v>
      </c>
      <c r="AH27" s="28">
        <f>'[180]Arc Results'!$I$158</f>
        <v>2837.843655589124</v>
      </c>
      <c r="AI27" s="28">
        <f>'[180]Arc Results'!$I$213</f>
        <v>4601.4928422960702</v>
      </c>
      <c r="AJ27" s="28">
        <f>'[180]Arc Results'!$I$224</f>
        <v>4829.5317220543802</v>
      </c>
      <c r="AK27" s="28">
        <f>'[180]Arc Results'!$I$180</f>
        <v>3063</v>
      </c>
      <c r="AL27" s="28">
        <f>'[180]Arc Results'!$I$191</f>
        <v>3067.0000000000005</v>
      </c>
      <c r="AM27" s="28">
        <f>'[180]Arc Results'!$I$81</f>
        <v>2314</v>
      </c>
      <c r="AN27" s="28">
        <f>'[180]Arc Results'!$I$81</f>
        <v>2314</v>
      </c>
      <c r="AP27" s="9">
        <f t="shared" si="10"/>
        <v>1.1406418264053413</v>
      </c>
      <c r="AQ27" s="9">
        <f t="shared" si="11"/>
        <v>1.1057754852942048</v>
      </c>
      <c r="AR27" s="9">
        <f t="shared" si="12"/>
        <v>1.039638040525549</v>
      </c>
      <c r="AS27" s="9">
        <f t="shared" si="13"/>
        <v>1.0043812810502242</v>
      </c>
      <c r="AT27" s="9">
        <f t="shared" si="14"/>
        <v>1.0241796507052165</v>
      </c>
      <c r="AU27" s="9">
        <f t="shared" si="15"/>
        <v>1.000652528548124</v>
      </c>
      <c r="AV27" s="9">
        <f t="shared" si="16"/>
        <v>1</v>
      </c>
    </row>
    <row r="28" spans="1:48" ht="15.75">
      <c r="A28">
        <f t="shared" si="17"/>
        <v>24</v>
      </c>
      <c r="B28" s="9">
        <v>2020</v>
      </c>
      <c r="C28" s="9" t="s">
        <v>4</v>
      </c>
      <c r="D28" s="9" t="s">
        <v>88</v>
      </c>
      <c r="E28" s="7" t="s">
        <v>6</v>
      </c>
      <c r="F28" s="20" t="s">
        <v>85</v>
      </c>
      <c r="G28" s="7" t="s">
        <v>8</v>
      </c>
      <c r="H28" s="7" t="s">
        <v>9</v>
      </c>
      <c r="I28" s="9" t="s">
        <v>45</v>
      </c>
      <c r="J28" s="9">
        <v>500</v>
      </c>
      <c r="K28" s="9">
        <v>0.8</v>
      </c>
      <c r="L28" s="28">
        <f>'[181]Arc Results'!$I$10960+'[181]Arc Results'!$I$10971+'[181]Arc Results'!$I$10982+'[181]Arc Results'!$I$10993+'[181]Arc Results'!$I$11004+'[181]Arc Results'!$I$11015+'[181]Arc Results'!$I$11026+'[181]Arc Results'!$I$11037+'[181]Arc Results'!$I$11048+'[181]Arc Results'!$I$11059+'[181]Arc Results'!$I$11070+'[181]Arc Results'!$I$11081+'[181]Arc Results'!$I$11092+'[181]Arc Results'!$I$11103+'[181]Arc Results'!$I$11114+'[181]Arc Results'!$I$11125+'[181]Arc Results'!$I$11136+'[181]Arc Results'!$I$11147+'[181]Arc Results'!$I$11158+'[181]Arc Results'!$I$11169+'[181]Arc Results'!$I$11180+'[181]Arc Results'!$I$11191+'[181]Arc Results'!$I$11202+'[181]Arc Results'!$I$11213+'[181]Arc Results'!$I$11224+'[181]Arc Results'!$I$11235+'[181]Arc Results'!$I$11246+'[181]Arc Results'!$I$11257+'[181]Arc Results'!$I$11268</f>
        <v>3227.1001854984911</v>
      </c>
      <c r="M28" s="28">
        <f>'[181]Arc Results'!$I$257</f>
        <v>14299.710171428578</v>
      </c>
      <c r="N28" s="28">
        <f t="shared" si="1"/>
        <v>5595.2228096676736</v>
      </c>
      <c r="O28" s="28">
        <f t="shared" si="2"/>
        <v>8940.1359516616321</v>
      </c>
      <c r="P28" s="28">
        <f t="shared" si="3"/>
        <v>5566.829019939576</v>
      </c>
      <c r="Q28" s="28">
        <f t="shared" si="4"/>
        <v>1408.037764350453</v>
      </c>
      <c r="R28" s="28">
        <f t="shared" si="5"/>
        <v>458.8716012084592</v>
      </c>
      <c r="S28" s="28">
        <f t="shared" si="6"/>
        <v>0</v>
      </c>
      <c r="T28" s="28">
        <f t="shared" si="7"/>
        <v>6130</v>
      </c>
      <c r="U28" s="28" t="str">
        <f>[181]Log!$K$2</f>
        <v>340.807.897,27</v>
      </c>
      <c r="V28" s="28" t="str">
        <f>[181]Log!$J$2</f>
        <v>89.447.971,23</v>
      </c>
      <c r="W28" s="28" t="str">
        <f>[181]Log!$N$2</f>
        <v>35.475.755,55</v>
      </c>
      <c r="X28" s="32">
        <f t="shared" si="8"/>
        <v>0</v>
      </c>
      <c r="Y28" s="28"/>
      <c r="Z28" s="33">
        <f t="shared" si="9"/>
        <v>42398.807318256375</v>
      </c>
      <c r="AA28" s="28">
        <f>'[181]Arc Results'!$I$15</f>
        <v>0</v>
      </c>
      <c r="AB28" s="28">
        <f>'[181]Arc Results'!$I$26</f>
        <v>0</v>
      </c>
      <c r="AC28" s="28">
        <f>'[181]Arc Results'!$I$48</f>
        <v>609.57024169184285</v>
      </c>
      <c r="AD28" s="28">
        <f>'[181]Arc Results'!$I$59</f>
        <v>798.46752265861028</v>
      </c>
      <c r="AE28" s="28">
        <f>'[181]Arc Results'!$I$114</f>
        <v>216.95468277945619</v>
      </c>
      <c r="AF28" s="28">
        <f>'[181]Arc Results'!$I$125</f>
        <v>241.916918429003</v>
      </c>
      <c r="AG28" s="28">
        <f>'[181]Arc Results'!$I$147</f>
        <v>2782.1374622356498</v>
      </c>
      <c r="AH28" s="28">
        <f>'[181]Arc Results'!$I$158</f>
        <v>2813.0853474320243</v>
      </c>
      <c r="AI28" s="28">
        <f>'[181]Arc Results'!$I$213</f>
        <v>4331.8126888217521</v>
      </c>
      <c r="AJ28" s="28">
        <f>'[181]Arc Results'!$I$224</f>
        <v>4608.3232628398791</v>
      </c>
      <c r="AK28" s="28">
        <f>'[181]Arc Results'!$I$180</f>
        <v>3063</v>
      </c>
      <c r="AL28" s="28">
        <f>'[181]Arc Results'!$I$191</f>
        <v>3067</v>
      </c>
      <c r="AM28" s="28">
        <f>'[181]Arc Results'!$I$81</f>
        <v>2783.414509969788</v>
      </c>
      <c r="AN28" s="28">
        <f>'[181]Arc Results'!$I$81</f>
        <v>2783.414509969788</v>
      </c>
      <c r="AP28" s="9" t="e">
        <f t="shared" si="10"/>
        <v>#DIV/0!</v>
      </c>
      <c r="AQ28" s="9">
        <f t="shared" si="11"/>
        <v>1.134156402441314</v>
      </c>
      <c r="AR28" s="9">
        <f t="shared" si="12"/>
        <v>1.0543991730667308</v>
      </c>
      <c r="AS28" s="9">
        <f t="shared" si="13"/>
        <v>1.0055311265072235</v>
      </c>
      <c r="AT28" s="9">
        <f t="shared" si="14"/>
        <v>1.0309291240662546</v>
      </c>
      <c r="AU28" s="9">
        <f t="shared" si="15"/>
        <v>1.000652528548124</v>
      </c>
      <c r="AV28" s="9">
        <f t="shared" si="16"/>
        <v>1</v>
      </c>
    </row>
    <row r="29" spans="1:48" ht="15.75">
      <c r="A29">
        <f t="shared" si="17"/>
        <v>25</v>
      </c>
      <c r="B29" s="9">
        <v>2020</v>
      </c>
      <c r="C29" s="9" t="s">
        <v>4</v>
      </c>
      <c r="D29" s="9" t="s">
        <v>88</v>
      </c>
      <c r="E29" s="7" t="s">
        <v>6</v>
      </c>
      <c r="F29" s="20" t="s">
        <v>86</v>
      </c>
      <c r="G29" s="7" t="s">
        <v>8</v>
      </c>
      <c r="H29" s="7" t="s">
        <v>9</v>
      </c>
      <c r="I29" s="9" t="s">
        <v>45</v>
      </c>
      <c r="J29" s="9">
        <v>500</v>
      </c>
      <c r="K29" s="9">
        <v>0.8</v>
      </c>
      <c r="L29" s="28">
        <f>'[182]Arc Results'!$I$10960+'[182]Arc Results'!$I$10971+'[182]Arc Results'!$I$10982+'[182]Arc Results'!$I$10993+'[182]Arc Results'!$I$11004+'[182]Arc Results'!$I$11015+'[182]Arc Results'!$I$11026+'[182]Arc Results'!$I$11037+'[182]Arc Results'!$I$11048+'[182]Arc Results'!$I$11059+'[182]Arc Results'!$I$11070+'[182]Arc Results'!$I$11081+'[182]Arc Results'!$I$11092+'[182]Arc Results'!$I$11103+'[182]Arc Results'!$I$11114+'[182]Arc Results'!$I$11125+'[182]Arc Results'!$I$11136+'[182]Arc Results'!$I$11147+'[182]Arc Results'!$I$11158+'[182]Arc Results'!$I$11169+'[182]Arc Results'!$I$11180+'[182]Arc Results'!$I$11191+'[182]Arc Results'!$I$11202+'[182]Arc Results'!$I$11213+'[182]Arc Results'!$I$11224+'[182]Arc Results'!$I$11235+'[182]Arc Results'!$I$11246+'[182]Arc Results'!$I$11257+'[182]Arc Results'!$I$11268</f>
        <v>3349.4056990936565</v>
      </c>
      <c r="M29" s="28">
        <f>'[182]Arc Results'!$I$257</f>
        <v>14299.710171428578</v>
      </c>
      <c r="N29" s="28">
        <f t="shared" si="1"/>
        <v>5607.6019637462232</v>
      </c>
      <c r="O29" s="28">
        <f t="shared" si="2"/>
        <v>9074.7071836857995</v>
      </c>
      <c r="P29" s="28">
        <f t="shared" si="3"/>
        <v>5992.388217522659</v>
      </c>
      <c r="Q29" s="28">
        <f t="shared" si="4"/>
        <v>558.00000000000011</v>
      </c>
      <c r="R29" s="28">
        <f t="shared" si="5"/>
        <v>473.84894259818731</v>
      </c>
      <c r="S29" s="28">
        <f t="shared" si="6"/>
        <v>361.63141993957703</v>
      </c>
      <c r="T29" s="28">
        <f t="shared" si="7"/>
        <v>6130</v>
      </c>
      <c r="U29" s="28" t="str">
        <f>[182]Log!$K$2</f>
        <v>342.730.760,22</v>
      </c>
      <c r="V29" s="28" t="str">
        <f>[182]Log!$J$2</f>
        <v>89.447.971,23</v>
      </c>
      <c r="W29" s="28" t="str">
        <f>[182]Log!$N$2</f>
        <v>35.475.755,55</v>
      </c>
      <c r="X29" s="32">
        <f t="shared" si="8"/>
        <v>0</v>
      </c>
      <c r="Y29" s="28"/>
      <c r="Z29" s="33">
        <f t="shared" si="9"/>
        <v>42497.887898921028</v>
      </c>
      <c r="AA29" s="28">
        <f>'[182]Arc Results'!$I$15</f>
        <v>144.65256797583081</v>
      </c>
      <c r="AB29" s="28">
        <f>'[182]Arc Results'!$I$26</f>
        <v>216.97885196374622</v>
      </c>
      <c r="AC29" s="28">
        <f>'[182]Arc Results'!$I$48</f>
        <v>279</v>
      </c>
      <c r="AD29" s="28">
        <f>'[182]Arc Results'!$I$59</f>
        <v>279.00000000000011</v>
      </c>
      <c r="AE29" s="28">
        <f>'[182]Arc Results'!$I$114</f>
        <v>226.93957703927492</v>
      </c>
      <c r="AF29" s="28">
        <f>'[182]Arc Results'!$I$125</f>
        <v>246.90936555891238</v>
      </c>
      <c r="AG29" s="28">
        <f>'[182]Arc Results'!$I$147</f>
        <v>2788.3270392749246</v>
      </c>
      <c r="AH29" s="28">
        <f>'[182]Arc Results'!$I$158</f>
        <v>2819.2749244712991</v>
      </c>
      <c r="AI29" s="28">
        <f>'[182]Arc Results'!$I$213</f>
        <v>4411.0818060422953</v>
      </c>
      <c r="AJ29" s="28">
        <f>'[182]Arc Results'!$I$224</f>
        <v>4663.6253776435042</v>
      </c>
      <c r="AK29" s="28">
        <f>'[182]Arc Results'!$I$180</f>
        <v>3063</v>
      </c>
      <c r="AL29" s="28">
        <f>'[182]Arc Results'!$I$191</f>
        <v>3067.0000000000005</v>
      </c>
      <c r="AM29" s="28">
        <f>'[182]Arc Results'!$I$81</f>
        <v>2996.1941087613295</v>
      </c>
      <c r="AN29" s="28">
        <f>'[182]Arc Results'!$I$81</f>
        <v>2996.1941087613295</v>
      </c>
      <c r="AP29" s="9">
        <f t="shared" si="10"/>
        <v>1.2</v>
      </c>
      <c r="AQ29" s="9">
        <f t="shared" si="11"/>
        <v>1.0000000000000002</v>
      </c>
      <c r="AR29" s="9">
        <f t="shared" si="12"/>
        <v>1.0421437861824487</v>
      </c>
      <c r="AS29" s="9">
        <f t="shared" si="13"/>
        <v>1.0055189161777986</v>
      </c>
      <c r="AT29" s="9">
        <f t="shared" si="14"/>
        <v>1.0278293906887952</v>
      </c>
      <c r="AU29" s="9">
        <f t="shared" si="15"/>
        <v>1.000652528548124</v>
      </c>
      <c r="AV29" s="9">
        <f t="shared" si="16"/>
        <v>1</v>
      </c>
    </row>
    <row r="30" spans="1:48" ht="15.75">
      <c r="A30">
        <f t="shared" si="17"/>
        <v>26</v>
      </c>
      <c r="B30" s="9">
        <v>2020</v>
      </c>
      <c r="C30" s="9" t="s">
        <v>4</v>
      </c>
      <c r="D30" s="9" t="s">
        <v>88</v>
      </c>
      <c r="E30" s="7" t="s">
        <v>6</v>
      </c>
      <c r="F30" s="20" t="s">
        <v>87</v>
      </c>
      <c r="G30" s="7" t="s">
        <v>8</v>
      </c>
      <c r="H30" s="7" t="s">
        <v>9</v>
      </c>
      <c r="I30" s="9" t="s">
        <v>45</v>
      </c>
      <c r="J30" s="9">
        <v>500</v>
      </c>
      <c r="K30" s="9">
        <v>0.8</v>
      </c>
      <c r="L30" s="28">
        <f>'[183]Arc Results'!$I$10960+'[183]Arc Results'!$I$10971+'[183]Arc Results'!$I$10982+'[183]Arc Results'!$I$10993+'[183]Arc Results'!$I$11004+'[183]Arc Results'!$I$11015+'[183]Arc Results'!$I$11026+'[183]Arc Results'!$I$11037+'[183]Arc Results'!$I$11048+'[183]Arc Results'!$I$11059+'[183]Arc Results'!$I$11070+'[183]Arc Results'!$I$11081+'[183]Arc Results'!$I$11092+'[183]Arc Results'!$I$11103+'[183]Arc Results'!$I$11114+'[183]Arc Results'!$I$11125+'[183]Arc Results'!$I$11136+'[183]Arc Results'!$I$11147+'[183]Arc Results'!$I$11158+'[183]Arc Results'!$I$11169+'[183]Arc Results'!$I$11180+'[183]Arc Results'!$I$11191+'[183]Arc Results'!$I$11202+'[183]Arc Results'!$I$11213+'[183]Arc Results'!$I$11224+'[183]Arc Results'!$I$11235+'[183]Arc Results'!$I$11246+'[183]Arc Results'!$I$11257+'[183]Arc Results'!$I$11268</f>
        <v>3243.7921709969819</v>
      </c>
      <c r="M30" s="28">
        <f>'[183]Arc Results'!$I$257</f>
        <v>14299.710171428578</v>
      </c>
      <c r="N30" s="28">
        <f t="shared" si="1"/>
        <v>5589.0332326283988</v>
      </c>
      <c r="O30" s="28">
        <f t="shared" si="2"/>
        <v>8884.8338368580062</v>
      </c>
      <c r="P30" s="28">
        <f t="shared" si="3"/>
        <v>5537.5921450151054</v>
      </c>
      <c r="Q30" s="28">
        <f t="shared" si="4"/>
        <v>1360.8134441087614</v>
      </c>
      <c r="R30" s="28">
        <f t="shared" si="5"/>
        <v>374.00000000000006</v>
      </c>
      <c r="S30" s="28">
        <f t="shared" si="6"/>
        <v>289.30513595166161</v>
      </c>
      <c r="T30" s="28">
        <f t="shared" si="7"/>
        <v>6130</v>
      </c>
      <c r="U30" s="28" t="str">
        <f>[183]Log!$K$2</f>
        <v>341.789.350,23</v>
      </c>
      <c r="V30" s="28" t="str">
        <f>[183]Log!$J$2</f>
        <v>89.447.971,23</v>
      </c>
      <c r="W30" s="28" t="str">
        <f>[183]Log!$N$2</f>
        <v>35.475.755,55</v>
      </c>
      <c r="X30" s="32">
        <f t="shared" si="8"/>
        <v>0</v>
      </c>
      <c r="Y30" s="28"/>
      <c r="Z30" s="33">
        <f t="shared" si="9"/>
        <v>42465.287965990516</v>
      </c>
      <c r="AA30" s="28">
        <f>'[183]Arc Results'!$I$15</f>
        <v>108.48942598187311</v>
      </c>
      <c r="AB30" s="28">
        <f>'[183]Arc Results'!$I$26</f>
        <v>180.81570996978851</v>
      </c>
      <c r="AC30" s="28">
        <f>'[183]Arc Results'!$I$48</f>
        <v>562.34592145015108</v>
      </c>
      <c r="AD30" s="28">
        <f>'[183]Arc Results'!$I$59</f>
        <v>798.46752265861028</v>
      </c>
      <c r="AE30" s="28">
        <f>'[183]Arc Results'!$I$114</f>
        <v>187</v>
      </c>
      <c r="AF30" s="28">
        <f>'[183]Arc Results'!$I$125</f>
        <v>187.00000000000006</v>
      </c>
      <c r="AG30" s="28">
        <f>'[183]Arc Results'!$I$147</f>
        <v>2782.1374622356498</v>
      </c>
      <c r="AH30" s="28">
        <f>'[183]Arc Results'!$I$158</f>
        <v>2806.8957703927495</v>
      </c>
      <c r="AI30" s="28">
        <f>'[183]Arc Results'!$I$213</f>
        <v>4331.8126888217521</v>
      </c>
      <c r="AJ30" s="28">
        <f>'[183]Arc Results'!$I$224</f>
        <v>4553.0211480362541</v>
      </c>
      <c r="AK30" s="28">
        <f>'[183]Arc Results'!$I$180</f>
        <v>3063</v>
      </c>
      <c r="AL30" s="28">
        <f>'[183]Arc Results'!$I$191</f>
        <v>3067</v>
      </c>
      <c r="AM30" s="28">
        <f>'[183]Arc Results'!$I$81</f>
        <v>2768.7960725075527</v>
      </c>
      <c r="AN30" s="28">
        <f>'[183]Arc Results'!$I$81</f>
        <v>2768.7960725075527</v>
      </c>
      <c r="AP30" s="9">
        <f t="shared" si="10"/>
        <v>1.25</v>
      </c>
      <c r="AQ30" s="9">
        <f t="shared" si="11"/>
        <v>1.1735150414854274</v>
      </c>
      <c r="AR30" s="9">
        <f t="shared" si="12"/>
        <v>1.0000000000000002</v>
      </c>
      <c r="AS30" s="9">
        <f t="shared" si="13"/>
        <v>1.0044298015643498</v>
      </c>
      <c r="AT30" s="9">
        <f t="shared" si="14"/>
        <v>1.0248973096488128</v>
      </c>
      <c r="AU30" s="9">
        <f t="shared" si="15"/>
        <v>1.000652528548124</v>
      </c>
      <c r="AV30" s="9">
        <f t="shared" si="16"/>
        <v>1</v>
      </c>
    </row>
    <row r="31" spans="1:48" ht="15.75">
      <c r="A31">
        <f t="shared" si="17"/>
        <v>27</v>
      </c>
      <c r="B31" s="9">
        <v>2020</v>
      </c>
      <c r="C31" s="9" t="s">
        <v>89</v>
      </c>
      <c r="D31" s="9" t="s">
        <v>5</v>
      </c>
      <c r="E31" s="7" t="s">
        <v>6</v>
      </c>
      <c r="F31" s="20" t="s">
        <v>7</v>
      </c>
      <c r="G31" s="7" t="s">
        <v>8</v>
      </c>
      <c r="H31" s="7" t="s">
        <v>9</v>
      </c>
      <c r="I31" s="9" t="s">
        <v>45</v>
      </c>
      <c r="J31" s="9">
        <v>500</v>
      </c>
      <c r="K31" s="9">
        <v>0.8</v>
      </c>
      <c r="L31" s="28">
        <f>'[184]Arc Results'!$I$10960+'[184]Arc Results'!$I$10971+'[184]Arc Results'!$I$10982+'[184]Arc Results'!$I$10993+'[184]Arc Results'!$I$11004+'[184]Arc Results'!$I$11015+'[184]Arc Results'!$I$11026+'[184]Arc Results'!$I$11037+'[184]Arc Results'!$I$11048+'[184]Arc Results'!$I$11059+'[184]Arc Results'!$I$11070+'[184]Arc Results'!$I$11081+'[184]Arc Results'!$I$11092+'[184]Arc Results'!$I$11103+'[184]Arc Results'!$I$11114+'[184]Arc Results'!$I$11125+'[184]Arc Results'!$I$11136+'[184]Arc Results'!$I$11147+'[184]Arc Results'!$I$11158+'[184]Arc Results'!$I$11169+'[184]Arc Results'!$I$11180+'[184]Arc Results'!$I$11191+'[184]Arc Results'!$I$11202+'[184]Arc Results'!$I$11213+'[184]Arc Results'!$I$11224+'[184]Arc Results'!$I$11235+'[184]Arc Results'!$I$11246+'[184]Arc Results'!$I$11257+'[184]Arc Results'!$I$11268</f>
        <v>3935.8572143629344</v>
      </c>
      <c r="M31" s="28">
        <f>'[184]Arc Results'!$I$257</f>
        <v>6165.6514285714356</v>
      </c>
      <c r="N31" s="28">
        <f t="shared" si="1"/>
        <v>5703.5762548262555</v>
      </c>
      <c r="O31" s="28">
        <f t="shared" si="2"/>
        <v>9908.2432432432433</v>
      </c>
      <c r="P31" s="28">
        <f t="shared" si="3"/>
        <v>7350.8058363275968</v>
      </c>
      <c r="Q31" s="28">
        <f t="shared" si="4"/>
        <v>2247.864864864865</v>
      </c>
      <c r="R31" s="28">
        <f t="shared" si="5"/>
        <v>546.26833976833973</v>
      </c>
      <c r="S31" s="28">
        <f t="shared" si="6"/>
        <v>589.18918918918916</v>
      </c>
      <c r="T31" s="28">
        <f t="shared" si="7"/>
        <v>6130</v>
      </c>
      <c r="U31" s="28" t="str">
        <f>[184]Log!$K$2</f>
        <v>326.655.789,86</v>
      </c>
      <c r="V31" s="28" t="str">
        <f>[184]Log!$J$2</f>
        <v>47.021.195,86</v>
      </c>
      <c r="W31" s="28" t="str">
        <f>[184]Log!$N$2</f>
        <v>71.948.395,79</v>
      </c>
      <c r="X31" s="32">
        <f t="shared" si="8"/>
        <v>0</v>
      </c>
      <c r="Y31" s="28"/>
      <c r="Z31" s="33">
        <f t="shared" si="9"/>
        <v>38641.599156790922</v>
      </c>
      <c r="AA31" s="28">
        <f>'[184]Arc Results'!$I$15</f>
        <v>254.18918918918914</v>
      </c>
      <c r="AB31" s="28">
        <f>'[184]Arc Results'!$I$26</f>
        <v>335</v>
      </c>
      <c r="AC31" s="28">
        <f>'[184]Arc Results'!$I$48</f>
        <v>1003.2277992277992</v>
      </c>
      <c r="AD31" s="28">
        <f>'[184]Arc Results'!$I$59</f>
        <v>1244.6370656370657</v>
      </c>
      <c r="AE31" s="28">
        <f>'[184]Arc Results'!$I$114</f>
        <v>257.18339768339769</v>
      </c>
      <c r="AF31" s="28">
        <f>'[184]Arc Results'!$I$125</f>
        <v>289.0849420849421</v>
      </c>
      <c r="AG31" s="28">
        <f>'[184]Arc Results'!$I$147</f>
        <v>2832.0125482625485</v>
      </c>
      <c r="AH31" s="28">
        <f>'[184]Arc Results'!$I$158</f>
        <v>2871.5637065637065</v>
      </c>
      <c r="AI31" s="28">
        <f>'[184]Arc Results'!$I$213</f>
        <v>4777.4324324324325</v>
      </c>
      <c r="AJ31" s="28">
        <f>'[184]Arc Results'!$I$224</f>
        <v>5130.8108108108108</v>
      </c>
      <c r="AK31" s="28">
        <f>'[184]Arc Results'!$I$180</f>
        <v>3063</v>
      </c>
      <c r="AL31" s="28">
        <f>'[184]Arc Results'!$I$191</f>
        <v>3066.9999999999995</v>
      </c>
      <c r="AM31" s="28">
        <f>'[184]Arc Results'!$I$81</f>
        <v>3675.4029181637984</v>
      </c>
      <c r="AN31" s="28">
        <f>'[184]Arc Results'!$I$81</f>
        <v>3675.4029181637984</v>
      </c>
      <c r="AP31" s="9">
        <f t="shared" si="10"/>
        <v>1.1371559633027524</v>
      </c>
      <c r="AQ31" s="9">
        <f t="shared" si="11"/>
        <v>1.1073949195890738</v>
      </c>
      <c r="AR31" s="9">
        <f t="shared" si="12"/>
        <v>1.0583990359299849</v>
      </c>
      <c r="AS31" s="9">
        <f t="shared" si="13"/>
        <v>1.0069344489376626</v>
      </c>
      <c r="AT31" s="9">
        <f t="shared" si="14"/>
        <v>1.0356650891286261</v>
      </c>
      <c r="AU31" s="9">
        <f t="shared" si="15"/>
        <v>1.0006525285481238</v>
      </c>
      <c r="AV31" s="9">
        <f t="shared" si="16"/>
        <v>1</v>
      </c>
    </row>
    <row r="32" spans="1:48" ht="15.75">
      <c r="A32">
        <f t="shared" si="17"/>
        <v>28</v>
      </c>
      <c r="B32" s="9">
        <v>2020</v>
      </c>
      <c r="C32" s="9" t="s">
        <v>89</v>
      </c>
      <c r="D32" s="9" t="s">
        <v>5</v>
      </c>
      <c r="E32" s="7" t="s">
        <v>6</v>
      </c>
      <c r="F32" s="20" t="s">
        <v>76</v>
      </c>
      <c r="G32" s="7" t="s">
        <v>8</v>
      </c>
      <c r="H32" s="7" t="s">
        <v>9</v>
      </c>
      <c r="I32" s="9" t="s">
        <v>45</v>
      </c>
      <c r="J32" s="9">
        <v>500</v>
      </c>
      <c r="K32" s="9">
        <v>0.8</v>
      </c>
      <c r="L32" s="21">
        <f>'[185]Arc Results'!$I$10960+'[185]Arc Results'!$I$10971+'[185]Arc Results'!$I$10982+'[185]Arc Results'!$I$10993+'[185]Arc Results'!$I$11004+'[185]Arc Results'!$I$11015+'[185]Arc Results'!$I$11026+'[185]Arc Results'!$I$11037+'[185]Arc Results'!$I$11048+'[185]Arc Results'!$I$11059+'[185]Arc Results'!$I$11070+'[185]Arc Results'!$I$11081+'[185]Arc Results'!$I$11092+'[185]Arc Results'!$I$11103+'[185]Arc Results'!$I$11114+'[185]Arc Results'!$I$11125+'[185]Arc Results'!$I$11136+'[185]Arc Results'!$I$11147+'[185]Arc Results'!$I$11158+'[185]Arc Results'!$I$11169+'[185]Arc Results'!$I$11180+'[185]Arc Results'!$I$11191+'[185]Arc Results'!$I$11202+'[185]Arc Results'!$I$11213+'[185]Arc Results'!$I$11224+'[185]Arc Results'!$I$11235+'[185]Arc Results'!$I$11246+'[185]Arc Results'!$I$11257+'[185]Arc Results'!$I$11268</f>
        <v>3829.7891641698807</v>
      </c>
      <c r="M32" s="21">
        <f>'[185]Arc Results'!$I$257</f>
        <v>6165.6514285714366</v>
      </c>
      <c r="N32" s="21">
        <f t="shared" si="1"/>
        <v>6124.0000000000036</v>
      </c>
      <c r="O32" s="21">
        <f t="shared" si="2"/>
        <v>9837.5675675675666</v>
      </c>
      <c r="P32" s="22">
        <f t="shared" si="3"/>
        <v>7243.516409266409</v>
      </c>
      <c r="Q32" s="22">
        <f t="shared" si="4"/>
        <v>2127.1602316602316</v>
      </c>
      <c r="R32" s="22">
        <f t="shared" si="5"/>
        <v>539.28419229506972</v>
      </c>
      <c r="S32" s="22">
        <f t="shared" si="6"/>
        <v>566.08108108108104</v>
      </c>
      <c r="T32" s="22">
        <f t="shared" si="7"/>
        <v>6130</v>
      </c>
      <c r="U32" s="21" t="str">
        <f>[185]Log!$K$2</f>
        <v>312.416.479,82</v>
      </c>
      <c r="V32" s="21" t="str">
        <f>[185]Log!$J$2</f>
        <v>47.021.195,86</v>
      </c>
      <c r="W32" s="21" t="str">
        <f>[185]Log!$N$2</f>
        <v>71.948.395,79</v>
      </c>
      <c r="X32" s="23">
        <f t="shared" si="8"/>
        <v>0</v>
      </c>
      <c r="Y32" s="22"/>
      <c r="Z32" s="24">
        <f t="shared" si="9"/>
        <v>38733.260910441793</v>
      </c>
      <c r="AA32" s="22">
        <f>'[185]Arc Results'!$I$15</f>
        <v>231.08108108108104</v>
      </c>
      <c r="AB32" s="22">
        <f>'[185]Arc Results'!$I$26</f>
        <v>335</v>
      </c>
      <c r="AC32" s="22">
        <f>'[185]Arc Results'!$I$48</f>
        <v>942.87548262548262</v>
      </c>
      <c r="AD32" s="22">
        <f>'[185]Arc Results'!$I$59</f>
        <v>1184.284749034749</v>
      </c>
      <c r="AE32" s="22">
        <f>'[185]Arc Results'!$I$114</f>
        <v>256.57955909043648</v>
      </c>
      <c r="AF32" s="22">
        <f>'[185]Arc Results'!$I$125</f>
        <v>282.70463320463318</v>
      </c>
      <c r="AG32" s="22">
        <f>'[185]Arc Results'!$I$147</f>
        <v>2863.6534749034749</v>
      </c>
      <c r="AH32" s="22">
        <f>'[185]Arc Results'!$I$158</f>
        <v>3260.3465250965287</v>
      </c>
      <c r="AI32" s="22">
        <f>'[185]Arc Results'!$I$213</f>
        <v>4777.4324324324325</v>
      </c>
      <c r="AJ32" s="22">
        <f>'[185]Arc Results'!$I$224</f>
        <v>5060.135135135135</v>
      </c>
      <c r="AK32" s="22">
        <f>'[185]Arc Results'!$I$180</f>
        <v>3063</v>
      </c>
      <c r="AL32" s="22">
        <f>'[185]Arc Results'!$I$191</f>
        <v>3067.0000000000005</v>
      </c>
      <c r="AM32" s="22">
        <f>'[185]Arc Results'!$I$81</f>
        <v>3621.7582046332045</v>
      </c>
      <c r="AN32" s="22">
        <f>'[185]Arc Results'!$I$81</f>
        <v>3621.7582046332045</v>
      </c>
      <c r="AP32" s="9">
        <f t="shared" si="10"/>
        <v>1.1835760324659825</v>
      </c>
      <c r="AQ32" s="9">
        <f t="shared" si="11"/>
        <v>1.1134889900705074</v>
      </c>
      <c r="AR32" s="9">
        <f t="shared" si="12"/>
        <v>1.0484439827598402</v>
      </c>
      <c r="AS32" s="9">
        <f t="shared" si="13"/>
        <v>1.0647767880785521</v>
      </c>
      <c r="AT32" s="9">
        <f t="shared" si="14"/>
        <v>1.0287370532157478</v>
      </c>
      <c r="AU32" s="9">
        <f t="shared" si="15"/>
        <v>1.000652528548124</v>
      </c>
      <c r="AV32" s="9">
        <f t="shared" si="16"/>
        <v>1</v>
      </c>
    </row>
    <row r="33" spans="1:48" ht="15.75">
      <c r="A33">
        <f t="shared" si="17"/>
        <v>29</v>
      </c>
      <c r="B33" s="9">
        <v>2020</v>
      </c>
      <c r="C33" s="9" t="s">
        <v>89</v>
      </c>
      <c r="D33" s="9" t="s">
        <v>5</v>
      </c>
      <c r="E33" s="7" t="s">
        <v>6</v>
      </c>
      <c r="F33" s="20" t="s">
        <v>77</v>
      </c>
      <c r="G33" s="7" t="s">
        <v>8</v>
      </c>
      <c r="H33" s="7" t="s">
        <v>9</v>
      </c>
      <c r="I33" s="9" t="s">
        <v>45</v>
      </c>
      <c r="J33" s="9">
        <v>500</v>
      </c>
      <c r="K33" s="9">
        <v>0.8</v>
      </c>
      <c r="L33" s="21">
        <f>'[186]Arc Results'!$I$10960+'[186]Arc Results'!$I$10971+'[186]Arc Results'!$I$10982+'[186]Arc Results'!$I$10993+'[186]Arc Results'!$I$11004+'[186]Arc Results'!$I$11015+'[186]Arc Results'!$I$11026+'[186]Arc Results'!$I$11037+'[186]Arc Results'!$I$11048+'[186]Arc Results'!$I$11059+'[186]Arc Results'!$I$11070+'[186]Arc Results'!$I$11081+'[186]Arc Results'!$I$11092+'[186]Arc Results'!$I$11103+'[186]Arc Results'!$I$11114+'[186]Arc Results'!$I$11125+'[186]Arc Results'!$I$11136+'[186]Arc Results'!$I$11147+'[186]Arc Results'!$I$11158+'[186]Arc Results'!$I$11169+'[186]Arc Results'!$I$11180+'[186]Arc Results'!$I$11191+'[186]Arc Results'!$I$11202+'[186]Arc Results'!$I$11213+'[186]Arc Results'!$I$11224+'[186]Arc Results'!$I$11235+'[186]Arc Results'!$I$11246+'[186]Arc Results'!$I$11257+'[186]Arc Results'!$I$11268</f>
        <v>3487.5445650965062</v>
      </c>
      <c r="M33" s="21">
        <f>'[186]Arc Results'!$I$257</f>
        <v>6165.6514285714566</v>
      </c>
      <c r="N33" s="21">
        <f t="shared" si="1"/>
        <v>5648.2046332046339</v>
      </c>
      <c r="O33" s="21">
        <f t="shared" si="2"/>
        <v>11503.999999999978</v>
      </c>
      <c r="P33" s="22">
        <f t="shared" si="3"/>
        <v>6371.6776061776063</v>
      </c>
      <c r="Q33" s="22">
        <f t="shared" si="4"/>
        <v>1809.1633249421029</v>
      </c>
      <c r="R33" s="22">
        <f t="shared" si="5"/>
        <v>501.6061776061776</v>
      </c>
      <c r="S33" s="22">
        <f t="shared" si="6"/>
        <v>462.16216216216208</v>
      </c>
      <c r="T33" s="22">
        <f t="shared" si="7"/>
        <v>6130</v>
      </c>
      <c r="U33" s="21" t="str">
        <f>[186]Log!$K$2</f>
        <v>300.030.251,95</v>
      </c>
      <c r="V33" s="21" t="str">
        <f>[186]Log!$J$2</f>
        <v>47.021.195,86</v>
      </c>
      <c r="W33" s="21" t="str">
        <f>[186]Log!$N$2</f>
        <v>71.948.395,79</v>
      </c>
      <c r="X33" s="23">
        <f t="shared" si="8"/>
        <v>0</v>
      </c>
      <c r="Y33" s="22"/>
      <c r="Z33" s="24">
        <f t="shared" si="9"/>
        <v>38592.465332664113</v>
      </c>
      <c r="AA33" s="22">
        <f>'[186]Arc Results'!$I$15</f>
        <v>184.86486486486484</v>
      </c>
      <c r="AB33" s="22">
        <f>'[186]Arc Results'!$I$26</f>
        <v>277.29729729729723</v>
      </c>
      <c r="AC33" s="22">
        <f>'[186]Arc Results'!$I$48</f>
        <v>761.81853281853284</v>
      </c>
      <c r="AD33" s="22">
        <f>'[186]Arc Results'!$I$59</f>
        <v>1047.34479212357</v>
      </c>
      <c r="AE33" s="22">
        <f>'[186]Arc Results'!$I$114</f>
        <v>238.04247104247105</v>
      </c>
      <c r="AF33" s="22">
        <f>'[186]Arc Results'!$I$125</f>
        <v>263.56370656370655</v>
      </c>
      <c r="AG33" s="22">
        <f>'[186]Arc Results'!$I$147</f>
        <v>2808.2818532818533</v>
      </c>
      <c r="AH33" s="22">
        <f>'[186]Arc Results'!$I$158</f>
        <v>2839.9227799227801</v>
      </c>
      <c r="AI33" s="22">
        <f>'[186]Arc Results'!$I$213</f>
        <v>5176.7999999999784</v>
      </c>
      <c r="AJ33" s="22">
        <f>'[186]Arc Results'!$I$224</f>
        <v>6327.2000000000007</v>
      </c>
      <c r="AK33" s="22">
        <f>'[186]Arc Results'!$I$180</f>
        <v>3063</v>
      </c>
      <c r="AL33" s="22">
        <f>'[186]Arc Results'!$I$191</f>
        <v>3067</v>
      </c>
      <c r="AM33" s="22">
        <f>'[186]Arc Results'!$I$81</f>
        <v>3185.8388030888032</v>
      </c>
      <c r="AN33" s="22">
        <f>'[186]Arc Results'!$I$81</f>
        <v>3185.8388030888032</v>
      </c>
      <c r="AP33" s="9">
        <f t="shared" si="10"/>
        <v>1.2</v>
      </c>
      <c r="AQ33" s="9">
        <f t="shared" si="11"/>
        <v>1.1578222680996335</v>
      </c>
      <c r="AR33" s="9">
        <f t="shared" si="12"/>
        <v>1.0508790295267711</v>
      </c>
      <c r="AS33" s="9">
        <f t="shared" si="13"/>
        <v>1.0056019441036035</v>
      </c>
      <c r="AT33" s="9">
        <f t="shared" si="14"/>
        <v>1.1000000000000023</v>
      </c>
      <c r="AU33" s="9">
        <f t="shared" si="15"/>
        <v>1.000652528548124</v>
      </c>
      <c r="AV33" s="9">
        <f t="shared" si="16"/>
        <v>1</v>
      </c>
    </row>
    <row r="34" spans="1:48" ht="15.75">
      <c r="A34">
        <f t="shared" si="17"/>
        <v>30</v>
      </c>
      <c r="B34" s="9">
        <v>2020</v>
      </c>
      <c r="C34" s="9" t="s">
        <v>89</v>
      </c>
      <c r="D34" s="9" t="s">
        <v>5</v>
      </c>
      <c r="E34" s="7" t="s">
        <v>6</v>
      </c>
      <c r="F34" s="20" t="s">
        <v>78</v>
      </c>
      <c r="G34" s="7" t="s">
        <v>8</v>
      </c>
      <c r="H34" s="7" t="s">
        <v>9</v>
      </c>
      <c r="I34" s="9" t="s">
        <v>45</v>
      </c>
      <c r="J34" s="9">
        <v>500</v>
      </c>
      <c r="K34" s="9">
        <v>0.8</v>
      </c>
      <c r="L34" s="21">
        <f>'[187]Arc Results'!$I$10960+'[187]Arc Results'!$I$10971+'[187]Arc Results'!$I$10982+'[187]Arc Results'!$I$10993+'[187]Arc Results'!$I$11004+'[187]Arc Results'!$I$11015+'[187]Arc Results'!$I$11026+'[187]Arc Results'!$I$11037+'[187]Arc Results'!$I$11048+'[187]Arc Results'!$I$11059+'[187]Arc Results'!$I$11070+'[187]Arc Results'!$I$11081+'[187]Arc Results'!$I$11092+'[187]Arc Results'!$I$11103+'[187]Arc Results'!$I$11114+'[187]Arc Results'!$I$11125+'[187]Arc Results'!$I$11136+'[187]Arc Results'!$I$11147+'[187]Arc Results'!$I$11158+'[187]Arc Results'!$I$11169+'[187]Arc Results'!$I$11180+'[187]Arc Results'!$I$11191+'[187]Arc Results'!$I$11202+'[187]Arc Results'!$I$11213+'[187]Arc Results'!$I$11224+'[187]Arc Results'!$I$11235+'[187]Arc Results'!$I$11246+'[187]Arc Results'!$I$11257+'[187]Arc Results'!$I$11268</f>
        <v>3724.2513218532831</v>
      </c>
      <c r="M34" s="21">
        <f>'[187]Arc Results'!$I$257</f>
        <v>6165.6514285714311</v>
      </c>
      <c r="N34" s="21">
        <f t="shared" si="1"/>
        <v>5553.2818532818528</v>
      </c>
      <c r="O34" s="21">
        <f t="shared" si="2"/>
        <v>8609.4762013899599</v>
      </c>
      <c r="P34" s="22">
        <f t="shared" si="3"/>
        <v>10089</v>
      </c>
      <c r="Q34" s="22">
        <f t="shared" si="4"/>
        <v>1101.1708494208494</v>
      </c>
      <c r="R34" s="22">
        <f t="shared" si="5"/>
        <v>425.04247104247099</v>
      </c>
      <c r="S34" s="22">
        <f t="shared" si="6"/>
        <v>184.86486486486484</v>
      </c>
      <c r="T34" s="22">
        <f t="shared" si="7"/>
        <v>6130</v>
      </c>
      <c r="U34" s="21" t="str">
        <f>[187]Log!$K$2</f>
        <v>302.550.591,26</v>
      </c>
      <c r="V34" s="21" t="str">
        <f>[187]Log!$J$2</f>
        <v>47.021.195,86</v>
      </c>
      <c r="W34" s="21" t="str">
        <f>[187]Log!$N$2</f>
        <v>71.948.395,79</v>
      </c>
      <c r="X34" s="23">
        <f t="shared" si="8"/>
        <v>0</v>
      </c>
      <c r="Y34" s="22"/>
      <c r="Z34" s="24">
        <f t="shared" si="9"/>
        <v>38258.487668571426</v>
      </c>
      <c r="AA34" s="22">
        <f>'[187]Arc Results'!$I$15</f>
        <v>46.21621621621621</v>
      </c>
      <c r="AB34" s="22">
        <f>'[187]Arc Results'!$I$26</f>
        <v>138.64864864864862</v>
      </c>
      <c r="AC34" s="22">
        <f>'[187]Arc Results'!$I$48</f>
        <v>399.70463320463318</v>
      </c>
      <c r="AD34" s="22">
        <f>'[187]Arc Results'!$I$59</f>
        <v>701.46621621621625</v>
      </c>
      <c r="AE34" s="22">
        <f>'[187]Arc Results'!$I$114</f>
        <v>199.76061776061775</v>
      </c>
      <c r="AF34" s="22">
        <f>'[187]Arc Results'!$I$125</f>
        <v>225.28185328185327</v>
      </c>
      <c r="AG34" s="22">
        <f>'[187]Arc Results'!$I$147</f>
        <v>2760.8204633204632</v>
      </c>
      <c r="AH34" s="22">
        <f>'[187]Arc Results'!$I$158</f>
        <v>2792.4613899613901</v>
      </c>
      <c r="AI34" s="22">
        <f>'[187]Arc Results'!$I$213</f>
        <v>4141.3513513513517</v>
      </c>
      <c r="AJ34" s="22">
        <f>'[187]Arc Results'!$I$224</f>
        <v>4468.1248500386073</v>
      </c>
      <c r="AK34" s="22">
        <f>'[187]Arc Results'!$I$180</f>
        <v>3063</v>
      </c>
      <c r="AL34" s="22">
        <f>'[187]Arc Results'!$I$191</f>
        <v>3067</v>
      </c>
      <c r="AM34" s="22">
        <f>'[187]Arc Results'!$I$81</f>
        <v>5044.5</v>
      </c>
      <c r="AN34" s="22">
        <f>'[187]Arc Results'!$I$81</f>
        <v>5044.5</v>
      </c>
      <c r="AP34" s="9">
        <f t="shared" si="10"/>
        <v>1.4999999999999998</v>
      </c>
      <c r="AQ34" s="9">
        <f t="shared" si="11"/>
        <v>1.2740370244728978</v>
      </c>
      <c r="AR34" s="9">
        <f t="shared" si="12"/>
        <v>1.0600439656268736</v>
      </c>
      <c r="AS34" s="9">
        <f t="shared" si="13"/>
        <v>1.0056976986720436</v>
      </c>
      <c r="AT34" s="9">
        <f t="shared" si="14"/>
        <v>1.0379550963430852</v>
      </c>
      <c r="AU34" s="9">
        <f t="shared" si="15"/>
        <v>1.000652528548124</v>
      </c>
      <c r="AV34" s="9">
        <f t="shared" si="16"/>
        <v>1</v>
      </c>
    </row>
    <row r="35" spans="1:48" ht="15.75">
      <c r="A35">
        <f t="shared" si="17"/>
        <v>31</v>
      </c>
      <c r="B35" s="9">
        <v>2020</v>
      </c>
      <c r="C35" s="9" t="s">
        <v>89</v>
      </c>
      <c r="D35" s="9" t="s">
        <v>5</v>
      </c>
      <c r="E35" s="7" t="s">
        <v>6</v>
      </c>
      <c r="F35" s="20" t="s">
        <v>79</v>
      </c>
      <c r="G35" s="7" t="s">
        <v>8</v>
      </c>
      <c r="H35" s="7" t="s">
        <v>9</v>
      </c>
      <c r="I35" s="9" t="s">
        <v>45</v>
      </c>
      <c r="J35" s="9">
        <v>500</v>
      </c>
      <c r="K35" s="9">
        <v>0.8</v>
      </c>
      <c r="L35" s="21">
        <f>'[188]Arc Results'!$I$10960+'[188]Arc Results'!$I$10971+'[188]Arc Results'!$I$10982+'[188]Arc Results'!$I$10993+'[188]Arc Results'!$I$11004+'[188]Arc Results'!$I$11015+'[188]Arc Results'!$I$11026+'[188]Arc Results'!$I$11037+'[188]Arc Results'!$I$11048+'[188]Arc Results'!$I$11059+'[188]Arc Results'!$I$11070+'[188]Arc Results'!$I$11081+'[188]Arc Results'!$I$11092+'[188]Arc Results'!$I$11103+'[188]Arc Results'!$I$11114+'[188]Arc Results'!$I$11125+'[188]Arc Results'!$I$11136+'[188]Arc Results'!$I$11147+'[188]Arc Results'!$I$11158+'[188]Arc Results'!$I$11169+'[188]Arc Results'!$I$11180+'[188]Arc Results'!$I$11191+'[188]Arc Results'!$I$11202+'[188]Arc Results'!$I$11213+'[188]Arc Results'!$I$11224+'[188]Arc Results'!$I$11235+'[188]Arc Results'!$I$11246+'[188]Arc Results'!$I$11257+'[188]Arc Results'!$I$11268</f>
        <v>3935.8572143629353</v>
      </c>
      <c r="M35" s="21">
        <f>'[188]Arc Results'!$I$257</f>
        <v>6165.6514285714338</v>
      </c>
      <c r="N35" s="21">
        <f t="shared" si="1"/>
        <v>5703.5762548262555</v>
      </c>
      <c r="O35" s="21">
        <f t="shared" si="2"/>
        <v>9908.2432432432433</v>
      </c>
      <c r="P35" s="22">
        <f t="shared" si="3"/>
        <v>7243.516409266409</v>
      </c>
      <c r="Q35" s="22">
        <f t="shared" si="4"/>
        <v>2220.698767584649</v>
      </c>
      <c r="R35" s="22">
        <f t="shared" si="5"/>
        <v>546.26833976833973</v>
      </c>
      <c r="S35" s="22">
        <f t="shared" si="6"/>
        <v>670</v>
      </c>
      <c r="T35" s="22">
        <f t="shared" si="7"/>
        <v>6130</v>
      </c>
      <c r="U35" s="21" t="str">
        <f>[188]Log!$K$2</f>
        <v>324.985.725,67</v>
      </c>
      <c r="V35" s="21" t="str">
        <f>[188]Log!$J$2</f>
        <v>47.021.195,86</v>
      </c>
      <c r="W35" s="21" t="str">
        <f>[188]Log!$N$2</f>
        <v>71.948.395,79</v>
      </c>
      <c r="X35" s="23">
        <f t="shared" si="8"/>
        <v>0</v>
      </c>
      <c r="Y35" s="22"/>
      <c r="Z35" s="24">
        <f t="shared" si="9"/>
        <v>38587.954443260329</v>
      </c>
      <c r="AA35" s="22">
        <f>'[188]Arc Results'!$I$15</f>
        <v>335</v>
      </c>
      <c r="AB35" s="22">
        <f>'[188]Arc Results'!$I$26</f>
        <v>335</v>
      </c>
      <c r="AC35" s="22">
        <f>'[188]Arc Results'!$I$48</f>
        <v>976.06170194758317</v>
      </c>
      <c r="AD35" s="22">
        <f>'[188]Arc Results'!$I$59</f>
        <v>1244.6370656370657</v>
      </c>
      <c r="AE35" s="22">
        <f>'[188]Arc Results'!$I$114</f>
        <v>257.18339768339769</v>
      </c>
      <c r="AF35" s="22">
        <f>'[188]Arc Results'!$I$125</f>
        <v>289.0849420849421</v>
      </c>
      <c r="AG35" s="22">
        <f>'[188]Arc Results'!$I$147</f>
        <v>2832.0125482625485</v>
      </c>
      <c r="AH35" s="22">
        <f>'[188]Arc Results'!$I$158</f>
        <v>2871.5637065637065</v>
      </c>
      <c r="AI35" s="22">
        <f>'[188]Arc Results'!$I$213</f>
        <v>4777.4324324324325</v>
      </c>
      <c r="AJ35" s="22">
        <f>'[188]Arc Results'!$I$224</f>
        <v>5130.8108108108108</v>
      </c>
      <c r="AK35" s="22">
        <f>'[188]Arc Results'!$I$180</f>
        <v>3063</v>
      </c>
      <c r="AL35" s="22">
        <f>'[188]Arc Results'!$I$191</f>
        <v>3067</v>
      </c>
      <c r="AM35" s="22">
        <f>'[188]Arc Results'!$I$81</f>
        <v>3621.7582046332045</v>
      </c>
      <c r="AN35" s="22">
        <f>'[188]Arc Results'!$I$81</f>
        <v>3621.7582046332045</v>
      </c>
      <c r="AP35" s="9">
        <f t="shared" si="10"/>
        <v>1</v>
      </c>
      <c r="AQ35" s="9">
        <f t="shared" si="11"/>
        <v>1.1209418258837507</v>
      </c>
      <c r="AR35" s="9">
        <f t="shared" si="12"/>
        <v>1.0583990359299849</v>
      </c>
      <c r="AS35" s="9">
        <f t="shared" si="13"/>
        <v>1.0069344489376626</v>
      </c>
      <c r="AT35" s="9">
        <f t="shared" si="14"/>
        <v>1.0356650891286261</v>
      </c>
      <c r="AU35" s="9">
        <f t="shared" si="15"/>
        <v>1.000652528548124</v>
      </c>
      <c r="AV35" s="9">
        <f t="shared" si="16"/>
        <v>1</v>
      </c>
    </row>
    <row r="36" spans="1:48" ht="15.75">
      <c r="A36">
        <f t="shared" si="17"/>
        <v>32</v>
      </c>
      <c r="B36" s="9">
        <v>2020</v>
      </c>
      <c r="C36" s="9" t="s">
        <v>89</v>
      </c>
      <c r="D36" s="9" t="s">
        <v>5</v>
      </c>
      <c r="E36" s="7" t="s">
        <v>6</v>
      </c>
      <c r="F36" s="20" t="s">
        <v>80</v>
      </c>
      <c r="G36" s="7" t="s">
        <v>8</v>
      </c>
      <c r="H36" s="7" t="s">
        <v>9</v>
      </c>
      <c r="I36" s="9" t="s">
        <v>45</v>
      </c>
      <c r="J36" s="9">
        <v>500</v>
      </c>
      <c r="K36" s="9">
        <v>0.8</v>
      </c>
      <c r="L36" s="21">
        <f>'[189]Arc Results'!$I$10960+'[189]Arc Results'!$I$10971+'[189]Arc Results'!$I$10982+'[189]Arc Results'!$I$10993+'[189]Arc Results'!$I$11004+'[189]Arc Results'!$I$11015+'[189]Arc Results'!$I$11026+'[189]Arc Results'!$I$11037+'[189]Arc Results'!$I$11048+'[189]Arc Results'!$I$11059+'[189]Arc Results'!$I$11070+'[189]Arc Results'!$I$11081+'[189]Arc Results'!$I$11092+'[189]Arc Results'!$I$11103+'[189]Arc Results'!$I$11114+'[189]Arc Results'!$I$11125+'[189]Arc Results'!$I$11136+'[189]Arc Results'!$I$11147+'[189]Arc Results'!$I$11158+'[189]Arc Results'!$I$11169+'[189]Arc Results'!$I$11180+'[189]Arc Results'!$I$11191+'[189]Arc Results'!$I$11202+'[189]Arc Results'!$I$11213+'[189]Arc Results'!$I$11224+'[189]Arc Results'!$I$11235+'[189]Arc Results'!$I$11246+'[189]Arc Results'!$I$11257+'[189]Arc Results'!$I$11268</f>
        <v>3881.5261332818527</v>
      </c>
      <c r="M36" s="21">
        <f>'[189]Arc Results'!$I$257</f>
        <v>6165.6514285714493</v>
      </c>
      <c r="N36" s="21">
        <f t="shared" si="1"/>
        <v>5671.9353281853282</v>
      </c>
      <c r="O36" s="21">
        <f t="shared" si="2"/>
        <v>9625.54054054054</v>
      </c>
      <c r="P36" s="22">
        <f t="shared" si="3"/>
        <v>6791.9183487258615</v>
      </c>
      <c r="Q36" s="22">
        <f t="shared" si="4"/>
        <v>3220.0000000000023</v>
      </c>
      <c r="R36" s="22">
        <f t="shared" si="5"/>
        <v>520.74710424710429</v>
      </c>
      <c r="S36" s="22">
        <f t="shared" si="6"/>
        <v>531.48648648648646</v>
      </c>
      <c r="T36" s="22">
        <f t="shared" si="7"/>
        <v>6130</v>
      </c>
      <c r="U36" s="21" t="str">
        <f>[189]Log!$K$2</f>
        <v>319.032.589,59</v>
      </c>
      <c r="V36" s="21" t="str">
        <f>[189]Log!$J$2</f>
        <v>47.021.195,86</v>
      </c>
      <c r="W36" s="21" t="str">
        <f>[189]Log!$N$2</f>
        <v>71.948.395,79</v>
      </c>
      <c r="X36" s="23">
        <f t="shared" si="8"/>
        <v>0</v>
      </c>
      <c r="Y36" s="22"/>
      <c r="Z36" s="24">
        <f t="shared" si="9"/>
        <v>38657.279236756774</v>
      </c>
      <c r="AA36" s="22">
        <f>'[189]Arc Results'!$I$15</f>
        <v>207.97297297297294</v>
      </c>
      <c r="AB36" s="22">
        <f>'[189]Arc Results'!$I$26</f>
        <v>323.51351351351349</v>
      </c>
      <c r="AC36" s="22">
        <f>'[189]Arc Results'!$I$48</f>
        <v>1449.000000000002</v>
      </c>
      <c r="AD36" s="22">
        <f>'[189]Arc Results'!$I$59</f>
        <v>1771.0000000000002</v>
      </c>
      <c r="AE36" s="22">
        <f>'[189]Arc Results'!$I$114</f>
        <v>244.42277992277991</v>
      </c>
      <c r="AF36" s="22">
        <f>'[189]Arc Results'!$I$125</f>
        <v>276.32432432432432</v>
      </c>
      <c r="AG36" s="22">
        <f>'[189]Arc Results'!$I$147</f>
        <v>2816.1920849420849</v>
      </c>
      <c r="AH36" s="22">
        <f>'[189]Arc Results'!$I$158</f>
        <v>2855.7432432432433</v>
      </c>
      <c r="AI36" s="22">
        <f>'[189]Arc Results'!$I$213</f>
        <v>4636.0810810810808</v>
      </c>
      <c r="AJ36" s="22">
        <f>'[189]Arc Results'!$I$224</f>
        <v>4989.4594594594591</v>
      </c>
      <c r="AK36" s="22">
        <f>'[189]Arc Results'!$I$180</f>
        <v>3063</v>
      </c>
      <c r="AL36" s="22">
        <f>'[189]Arc Results'!$I$191</f>
        <v>3067</v>
      </c>
      <c r="AM36" s="22">
        <f>'[189]Arc Results'!$I$81</f>
        <v>3395.9591743629308</v>
      </c>
      <c r="AN36" s="22">
        <f>'[189]Arc Results'!$I$81</f>
        <v>3395.9591743629308</v>
      </c>
      <c r="AP36" s="9">
        <f t="shared" si="10"/>
        <v>1.2173913043478262</v>
      </c>
      <c r="AQ36" s="9">
        <f t="shared" si="11"/>
        <v>1.0999999999999994</v>
      </c>
      <c r="AR36" s="9">
        <f t="shared" si="12"/>
        <v>1.0612611076304832</v>
      </c>
      <c r="AS36" s="9">
        <f t="shared" si="13"/>
        <v>1.0069731328043567</v>
      </c>
      <c r="AT36" s="9">
        <f t="shared" si="14"/>
        <v>1.0367125749343666</v>
      </c>
      <c r="AU36" s="9">
        <f t="shared" si="15"/>
        <v>1.000652528548124</v>
      </c>
      <c r="AV36" s="9">
        <f t="shared" si="16"/>
        <v>1</v>
      </c>
    </row>
    <row r="37" spans="1:48" ht="15.75">
      <c r="A37">
        <f t="shared" si="17"/>
        <v>33</v>
      </c>
      <c r="B37" s="9">
        <v>2020</v>
      </c>
      <c r="C37" s="9" t="s">
        <v>89</v>
      </c>
      <c r="D37" s="9" t="s">
        <v>5</v>
      </c>
      <c r="E37" s="7" t="s">
        <v>6</v>
      </c>
      <c r="F37" s="20" t="s">
        <v>81</v>
      </c>
      <c r="G37" s="7" t="s">
        <v>8</v>
      </c>
      <c r="H37" s="7" t="s">
        <v>9</v>
      </c>
      <c r="I37" s="9" t="s">
        <v>45</v>
      </c>
      <c r="J37" s="9">
        <v>500</v>
      </c>
      <c r="K37" s="9">
        <v>0.8</v>
      </c>
      <c r="L37" s="21">
        <f>'[190]Arc Results'!$I$10960+'[190]Arc Results'!$I$10971+'[190]Arc Results'!$I$10982+'[190]Arc Results'!$I$10993+'[190]Arc Results'!$I$11004+'[190]Arc Results'!$I$11015+'[190]Arc Results'!$I$11026+'[190]Arc Results'!$I$11037+'[190]Arc Results'!$I$11048+'[190]Arc Results'!$I$11059+'[190]Arc Results'!$I$11070+'[190]Arc Results'!$I$11081+'[190]Arc Results'!$I$11092+'[190]Arc Results'!$I$11103+'[190]Arc Results'!$I$11114+'[190]Arc Results'!$I$11125+'[190]Arc Results'!$I$11136+'[190]Arc Results'!$I$11147+'[190]Arc Results'!$I$11158+'[190]Arc Results'!$I$11169+'[190]Arc Results'!$I$11180+'[190]Arc Results'!$I$11191+'[190]Arc Results'!$I$11202+'[190]Arc Results'!$I$11213+'[190]Arc Results'!$I$11224+'[190]Arc Results'!$I$11235+'[190]Arc Results'!$I$11246+'[190]Arc Results'!$I$11257+'[190]Arc Results'!$I$11268</f>
        <v>3900.3767865466248</v>
      </c>
      <c r="M37" s="21">
        <f>'[190]Arc Results'!$I$257</f>
        <v>6165.6514285714311</v>
      </c>
      <c r="N37" s="21">
        <f t="shared" si="1"/>
        <v>5695.6660231660235</v>
      </c>
      <c r="O37" s="21">
        <f t="shared" si="2"/>
        <v>9908.2432432432433</v>
      </c>
      <c r="P37" s="22">
        <f t="shared" si="3"/>
        <v>7243.516409266409</v>
      </c>
      <c r="Q37" s="22">
        <f t="shared" si="4"/>
        <v>2183.6881498240323</v>
      </c>
      <c r="R37" s="22">
        <f t="shared" si="5"/>
        <v>671.99999999999977</v>
      </c>
      <c r="S37" s="22">
        <f t="shared" si="6"/>
        <v>589.18918918918916</v>
      </c>
      <c r="T37" s="22">
        <f t="shared" si="7"/>
        <v>6130</v>
      </c>
      <c r="U37" s="21" t="str">
        <f>[190]Log!$K$2</f>
        <v>325.093.609,11</v>
      </c>
      <c r="V37" s="21" t="str">
        <f>[190]Log!$J$2</f>
        <v>47.021.195,86</v>
      </c>
      <c r="W37" s="21" t="str">
        <f>[190]Log!$N$2</f>
        <v>71.948.395,79</v>
      </c>
      <c r="X37" s="23">
        <f t="shared" si="8"/>
        <v>0</v>
      </c>
      <c r="Y37" s="22"/>
      <c r="Z37" s="24">
        <f t="shared" si="9"/>
        <v>38587.954443260329</v>
      </c>
      <c r="AA37" s="22">
        <f>'[190]Arc Results'!$I$15</f>
        <v>254.18918918918914</v>
      </c>
      <c r="AB37" s="22">
        <f>'[190]Arc Results'!$I$26</f>
        <v>335</v>
      </c>
      <c r="AC37" s="22">
        <f>'[190]Arc Results'!$I$48</f>
        <v>942.87548262548262</v>
      </c>
      <c r="AD37" s="22">
        <f>'[190]Arc Results'!$I$59</f>
        <v>1240.8126671985497</v>
      </c>
      <c r="AE37" s="22">
        <f>'[190]Arc Results'!$I$114</f>
        <v>335.69999999999982</v>
      </c>
      <c r="AF37" s="22">
        <f>'[190]Arc Results'!$I$125</f>
        <v>336.3</v>
      </c>
      <c r="AG37" s="22">
        <f>'[190]Arc Results'!$I$147</f>
        <v>2832.0125482625485</v>
      </c>
      <c r="AH37" s="22">
        <f>'[190]Arc Results'!$I$158</f>
        <v>2863.6534749034749</v>
      </c>
      <c r="AI37" s="22">
        <f>'[190]Arc Results'!$I$213</f>
        <v>4777.4324324324325</v>
      </c>
      <c r="AJ37" s="22">
        <f>'[190]Arc Results'!$I$224</f>
        <v>5130.8108108108108</v>
      </c>
      <c r="AK37" s="22">
        <f>'[190]Arc Results'!$I$180</f>
        <v>3063</v>
      </c>
      <c r="AL37" s="22">
        <f>'[190]Arc Results'!$I$191</f>
        <v>3066.9999999999995</v>
      </c>
      <c r="AM37" s="22">
        <f>'[190]Arc Results'!$I$81</f>
        <v>3621.7582046332045</v>
      </c>
      <c r="AN37" s="22">
        <f>'[190]Arc Results'!$I$81</f>
        <v>3621.7582046332045</v>
      </c>
      <c r="AP37" s="9">
        <f t="shared" si="10"/>
        <v>1.1371559633027524</v>
      </c>
      <c r="AQ37" s="9">
        <f t="shared" si="11"/>
        <v>1.1364376065314434</v>
      </c>
      <c r="AR37" s="9">
        <f t="shared" si="12"/>
        <v>1.0008928571428575</v>
      </c>
      <c r="AS37" s="9">
        <f t="shared" si="13"/>
        <v>1.0055552636886069</v>
      </c>
      <c r="AT37" s="9">
        <f t="shared" si="14"/>
        <v>1.0356650891286261</v>
      </c>
      <c r="AU37" s="9">
        <f t="shared" si="15"/>
        <v>1.0006525285481238</v>
      </c>
      <c r="AV37" s="9">
        <f t="shared" si="16"/>
        <v>1</v>
      </c>
    </row>
    <row r="38" spans="1:48" ht="15.75">
      <c r="A38">
        <f t="shared" si="17"/>
        <v>34</v>
      </c>
      <c r="B38" s="9">
        <v>2020</v>
      </c>
      <c r="C38" s="9" t="s">
        <v>89</v>
      </c>
      <c r="D38" s="9" t="s">
        <v>5</v>
      </c>
      <c r="E38" s="7" t="s">
        <v>6</v>
      </c>
      <c r="F38" s="20" t="s">
        <v>82</v>
      </c>
      <c r="G38" s="7" t="s">
        <v>8</v>
      </c>
      <c r="H38" s="7" t="s">
        <v>9</v>
      </c>
      <c r="I38" s="9" t="s">
        <v>45</v>
      </c>
      <c r="J38" s="9">
        <v>500</v>
      </c>
      <c r="K38" s="9">
        <v>0.8</v>
      </c>
      <c r="L38" s="21">
        <f>'[191]Arc Results'!$I$10960+'[191]Arc Results'!$I$10971+'[191]Arc Results'!$I$10982+'[191]Arc Results'!$I$10993+'[191]Arc Results'!$I$11004+'[191]Arc Results'!$I$11015+'[191]Arc Results'!$I$11026+'[191]Arc Results'!$I$11037+'[191]Arc Results'!$I$11048+'[191]Arc Results'!$I$11059+'[191]Arc Results'!$I$11070+'[191]Arc Results'!$I$11081+'[191]Arc Results'!$I$11092+'[191]Arc Results'!$I$11103+'[191]Arc Results'!$I$11114+'[191]Arc Results'!$I$11125+'[191]Arc Results'!$I$11136+'[191]Arc Results'!$I$11147+'[191]Arc Results'!$I$11158+'[191]Arc Results'!$I$11169+'[191]Arc Results'!$I$11180+'[191]Arc Results'!$I$11191+'[191]Arc Results'!$I$11202+'[191]Arc Results'!$I$11213+'[191]Arc Results'!$I$11224+'[191]Arc Results'!$I$11235+'[191]Arc Results'!$I$11246+'[191]Arc Results'!$I$11257+'[191]Arc Results'!$I$11268</f>
        <v>4040.6705124153523</v>
      </c>
      <c r="M38" s="21">
        <f>'[191]Arc Results'!$I$257</f>
        <v>6165.6514285714111</v>
      </c>
      <c r="N38" s="21">
        <f t="shared" si="1"/>
        <v>5490</v>
      </c>
      <c r="O38" s="21">
        <f t="shared" si="2"/>
        <v>9978.9189189189201</v>
      </c>
      <c r="P38" s="22">
        <f t="shared" si="3"/>
        <v>7534.1293436293436</v>
      </c>
      <c r="Q38" s="22">
        <f t="shared" si="4"/>
        <v>2247.864864864865</v>
      </c>
      <c r="R38" s="22">
        <f t="shared" si="5"/>
        <v>552.64864864864865</v>
      </c>
      <c r="S38" s="22">
        <f t="shared" si="6"/>
        <v>612.29729729729729</v>
      </c>
      <c r="T38" s="22">
        <f t="shared" si="7"/>
        <v>6130</v>
      </c>
      <c r="U38" s="21" t="str">
        <f>[191]Log!$K$2</f>
        <v>339.587.205,44</v>
      </c>
      <c r="V38" s="21" t="str">
        <f>[191]Log!$J$2</f>
        <v>47.021.195,86</v>
      </c>
      <c r="W38" s="21" t="str">
        <f>[191]Log!$N$2</f>
        <v>71.948.395,79</v>
      </c>
      <c r="X38" s="23">
        <f t="shared" si="8"/>
        <v>0</v>
      </c>
      <c r="Y38" s="22"/>
      <c r="Z38" s="24">
        <f t="shared" si="9"/>
        <v>38711.51050193049</v>
      </c>
      <c r="AA38" s="22">
        <f>'[191]Arc Results'!$I$15</f>
        <v>277.29729729729723</v>
      </c>
      <c r="AB38" s="22">
        <f>'[191]Arc Results'!$I$26</f>
        <v>335</v>
      </c>
      <c r="AC38" s="22">
        <f>'[191]Arc Results'!$I$48</f>
        <v>1003.2277992277992</v>
      </c>
      <c r="AD38" s="22">
        <f>'[191]Arc Results'!$I$59</f>
        <v>1244.6370656370657</v>
      </c>
      <c r="AE38" s="22">
        <f>'[191]Arc Results'!$I$114</f>
        <v>263.56370656370655</v>
      </c>
      <c r="AF38" s="22">
        <f>'[191]Arc Results'!$I$125</f>
        <v>289.0849420849421</v>
      </c>
      <c r="AG38" s="22">
        <f>'[191]Arc Results'!$I$147</f>
        <v>2745</v>
      </c>
      <c r="AH38" s="22">
        <f>'[191]Arc Results'!$I$158</f>
        <v>2745</v>
      </c>
      <c r="AI38" s="22">
        <f>'[191]Arc Results'!$I$213</f>
        <v>4848.1081081081084</v>
      </c>
      <c r="AJ38" s="22">
        <f>'[191]Arc Results'!$I$224</f>
        <v>5130.8108108108108</v>
      </c>
      <c r="AK38" s="22">
        <f>'[191]Arc Results'!$I$180</f>
        <v>3063</v>
      </c>
      <c r="AL38" s="22">
        <f>'[191]Arc Results'!$I$191</f>
        <v>3067</v>
      </c>
      <c r="AM38" s="22">
        <f>'[191]Arc Results'!$I$81</f>
        <v>3767.0646718146718</v>
      </c>
      <c r="AN38" s="22">
        <f>'[191]Arc Results'!$I$81</f>
        <v>3767.0646718146718</v>
      </c>
      <c r="AP38" s="9">
        <f t="shared" si="10"/>
        <v>1.0942396821893621</v>
      </c>
      <c r="AQ38" s="9">
        <f t="shared" si="11"/>
        <v>1.1073949195890738</v>
      </c>
      <c r="AR38" s="9">
        <f t="shared" si="12"/>
        <v>1.0461798569192935</v>
      </c>
      <c r="AS38" s="9">
        <f t="shared" si="13"/>
        <v>1</v>
      </c>
      <c r="AT38" s="9">
        <f t="shared" si="14"/>
        <v>1.0283299929581278</v>
      </c>
      <c r="AU38" s="9">
        <f t="shared" si="15"/>
        <v>1.000652528548124</v>
      </c>
      <c r="AV38" s="9">
        <f t="shared" si="16"/>
        <v>1</v>
      </c>
    </row>
    <row r="39" spans="1:48" ht="15.75">
      <c r="A39">
        <f t="shared" si="17"/>
        <v>35</v>
      </c>
      <c r="B39" s="9">
        <v>2020</v>
      </c>
      <c r="C39" s="9" t="s">
        <v>89</v>
      </c>
      <c r="D39" s="9" t="s">
        <v>5</v>
      </c>
      <c r="E39" s="7" t="s">
        <v>6</v>
      </c>
      <c r="F39" s="20" t="s">
        <v>83</v>
      </c>
      <c r="G39" s="7" t="s">
        <v>8</v>
      </c>
      <c r="H39" s="7" t="s">
        <v>9</v>
      </c>
      <c r="I39" s="9" t="s">
        <v>45</v>
      </c>
      <c r="J39" s="9">
        <v>500</v>
      </c>
      <c r="K39" s="9">
        <v>0.8</v>
      </c>
      <c r="L39" s="21">
        <f>'[192]Arc Results'!$I$10960+'[192]Arc Results'!$I$10971+'[192]Arc Results'!$I$10982+'[192]Arc Results'!$I$10993+'[192]Arc Results'!$I$11004+'[192]Arc Results'!$I$11015+'[192]Arc Results'!$I$11026+'[192]Arc Results'!$I$11037+'[192]Arc Results'!$I$11048+'[192]Arc Results'!$I$11059+'[192]Arc Results'!$I$11070+'[192]Arc Results'!$I$11081+'[192]Arc Results'!$I$11092+'[192]Arc Results'!$I$11103+'[192]Arc Results'!$I$11114+'[192]Arc Results'!$I$11125+'[192]Arc Results'!$I$11136+'[192]Arc Results'!$I$11147+'[192]Arc Results'!$I$11158+'[192]Arc Results'!$I$11169+'[192]Arc Results'!$I$11180+'[192]Arc Results'!$I$11191+'[192]Arc Results'!$I$11202+'[192]Arc Results'!$I$11213+'[192]Arc Results'!$I$11224+'[192]Arc Results'!$I$11235+'[192]Arc Results'!$I$11246+'[192]Arc Results'!$I$11257+'[192]Arc Results'!$I$11268</f>
        <v>4127.9743314800535</v>
      </c>
      <c r="M39" s="21">
        <f>'[192]Arc Results'!$I$257</f>
        <v>6165.6514285714202</v>
      </c>
      <c r="N39" s="21">
        <f t="shared" si="1"/>
        <v>5766.8581081081084</v>
      </c>
      <c r="O39" s="21">
        <f t="shared" si="2"/>
        <v>8058.8963963963961</v>
      </c>
      <c r="P39" s="22">
        <f t="shared" si="3"/>
        <v>8651.8450898668561</v>
      </c>
      <c r="Q39" s="22">
        <f t="shared" si="4"/>
        <v>2670.3310810810808</v>
      </c>
      <c r="R39" s="22">
        <f t="shared" si="5"/>
        <v>597.31081081081084</v>
      </c>
      <c r="S39" s="22">
        <f t="shared" si="6"/>
        <v>670</v>
      </c>
      <c r="T39" s="22">
        <f t="shared" si="7"/>
        <v>6130</v>
      </c>
      <c r="U39" s="21" t="str">
        <f>[192]Log!$K$2</f>
        <v>347.392.142,88</v>
      </c>
      <c r="V39" s="21" t="str">
        <f>[192]Log!$J$2</f>
        <v>47.021.195,86</v>
      </c>
      <c r="W39" s="21" t="str">
        <f>[192]Log!$N$2</f>
        <v>71.948.395,79</v>
      </c>
      <c r="X39" s="23">
        <f t="shared" si="8"/>
        <v>0</v>
      </c>
      <c r="Y39" s="22"/>
      <c r="Z39" s="24">
        <f t="shared" si="9"/>
        <v>38710.892914834672</v>
      </c>
      <c r="AA39" s="22">
        <f>'[192]Arc Results'!$I$15</f>
        <v>335</v>
      </c>
      <c r="AB39" s="22">
        <f>'[192]Arc Results'!$I$26</f>
        <v>335</v>
      </c>
      <c r="AC39" s="22">
        <f>'[192]Arc Results'!$I$48</f>
        <v>1184.284749034749</v>
      </c>
      <c r="AD39" s="22">
        <f>'[192]Arc Results'!$I$59</f>
        <v>1486.0463320463321</v>
      </c>
      <c r="AE39" s="22">
        <f>'[192]Arc Results'!$I$114</f>
        <v>282.70463320463318</v>
      </c>
      <c r="AF39" s="22">
        <f>'[192]Arc Results'!$I$125</f>
        <v>314.6061776061776</v>
      </c>
      <c r="AG39" s="22">
        <f>'[192]Arc Results'!$I$147</f>
        <v>2863.6534749034749</v>
      </c>
      <c r="AH39" s="22">
        <f>'[192]Arc Results'!$I$158</f>
        <v>2903.2046332046334</v>
      </c>
      <c r="AI39" s="22">
        <f>'[192]Arc Results'!$I$213</f>
        <v>4000</v>
      </c>
      <c r="AJ39" s="22">
        <f>'[192]Arc Results'!$I$224</f>
        <v>4058.8963963963965</v>
      </c>
      <c r="AK39" s="22">
        <f>'[192]Arc Results'!$I$180</f>
        <v>3063</v>
      </c>
      <c r="AL39" s="22">
        <f>'[192]Arc Results'!$I$191</f>
        <v>3067</v>
      </c>
      <c r="AM39" s="22">
        <f>'[192]Arc Results'!$I$81</f>
        <v>4325.9225449334281</v>
      </c>
      <c r="AN39" s="22">
        <f>'[192]Arc Results'!$I$81</f>
        <v>4325.9225449334281</v>
      </c>
      <c r="AP39" s="9">
        <f t="shared" si="10"/>
        <v>1</v>
      </c>
      <c r="AQ39" s="9">
        <f t="shared" si="11"/>
        <v>1.1130053067761978</v>
      </c>
      <c r="AR39" s="9">
        <f t="shared" si="12"/>
        <v>1.0534086171288948</v>
      </c>
      <c r="AS39" s="9">
        <f t="shared" si="13"/>
        <v>1.0068583546811305</v>
      </c>
      <c r="AT39" s="9">
        <f t="shared" si="14"/>
        <v>1.0073082458812515</v>
      </c>
      <c r="AU39" s="9">
        <f t="shared" si="15"/>
        <v>1.000652528548124</v>
      </c>
      <c r="AV39" s="9">
        <f t="shared" si="16"/>
        <v>1</v>
      </c>
    </row>
    <row r="40" spans="1:48" ht="15.75">
      <c r="A40">
        <f t="shared" si="17"/>
        <v>36</v>
      </c>
      <c r="B40" s="9">
        <v>2020</v>
      </c>
      <c r="C40" s="9" t="s">
        <v>89</v>
      </c>
      <c r="D40" s="9" t="s">
        <v>5</v>
      </c>
      <c r="E40" s="7" t="s">
        <v>6</v>
      </c>
      <c r="F40" s="20" t="s">
        <v>84</v>
      </c>
      <c r="G40" s="7" t="s">
        <v>8</v>
      </c>
      <c r="H40" s="7" t="s">
        <v>9</v>
      </c>
      <c r="I40" s="9" t="s">
        <v>45</v>
      </c>
      <c r="J40" s="9">
        <v>500</v>
      </c>
      <c r="K40" s="9">
        <v>0.8</v>
      </c>
      <c r="L40" s="21">
        <f>'[193]Arc Results'!$I$10960+'[193]Arc Results'!$I$10971+'[193]Arc Results'!$I$10982+'[193]Arc Results'!$I$10993+'[193]Arc Results'!$I$11004+'[193]Arc Results'!$I$11015+'[193]Arc Results'!$I$11026+'[193]Arc Results'!$I$11037+'[193]Arc Results'!$I$11048+'[193]Arc Results'!$I$11059+'[193]Arc Results'!$I$11070+'[193]Arc Results'!$I$11081+'[193]Arc Results'!$I$11092+'[193]Arc Results'!$I$11103+'[193]Arc Results'!$I$11114+'[193]Arc Results'!$I$11125+'[193]Arc Results'!$I$11136+'[193]Arc Results'!$I$11147+'[193]Arc Results'!$I$11158+'[193]Arc Results'!$I$11169+'[193]Arc Results'!$I$11180+'[193]Arc Results'!$I$11191+'[193]Arc Results'!$I$11202+'[193]Arc Results'!$I$11213+'[193]Arc Results'!$I$11224+'[193]Arc Results'!$I$11235+'[193]Arc Results'!$I$11246+'[193]Arc Results'!$I$11257+'[193]Arc Results'!$I$11268</f>
        <v>3567.6925201373429</v>
      </c>
      <c r="M40" s="21">
        <f>'[193]Arc Results'!$I$257</f>
        <v>6165.6514285714293</v>
      </c>
      <c r="N40" s="21">
        <f t="shared" si="1"/>
        <v>6124.0000000000064</v>
      </c>
      <c r="O40" s="21">
        <f t="shared" si="2"/>
        <v>11503.999999999982</v>
      </c>
      <c r="P40" s="22">
        <f t="shared" si="3"/>
        <v>4628</v>
      </c>
      <c r="Q40" s="22">
        <f t="shared" si="4"/>
        <v>3196.6940154440153</v>
      </c>
      <c r="R40" s="22">
        <f t="shared" si="5"/>
        <v>644.5258687258688</v>
      </c>
      <c r="S40" s="22">
        <f t="shared" si="6"/>
        <v>670</v>
      </c>
      <c r="T40" s="22">
        <f t="shared" si="7"/>
        <v>6130</v>
      </c>
      <c r="U40" s="21" t="str">
        <f>[193]Log!$K$2</f>
        <v>341.774.289,10</v>
      </c>
      <c r="V40" s="21" t="str">
        <f>[193]Log!$J$2</f>
        <v>47.021.195,86</v>
      </c>
      <c r="W40" s="21" t="str">
        <f>[193]Log!$N$2</f>
        <v>71.948.395,79</v>
      </c>
      <c r="X40" s="23">
        <f t="shared" si="8"/>
        <v>0</v>
      </c>
      <c r="Y40" s="22"/>
      <c r="Z40" s="24">
        <f t="shared" si="9"/>
        <v>39062.871312741307</v>
      </c>
      <c r="AA40" s="22">
        <f>'[193]Arc Results'!$I$15</f>
        <v>335</v>
      </c>
      <c r="AB40" s="22">
        <f>'[193]Arc Results'!$I$26</f>
        <v>335</v>
      </c>
      <c r="AC40" s="22">
        <f>'[193]Arc Results'!$I$48</f>
        <v>1425.6940154440153</v>
      </c>
      <c r="AD40" s="22">
        <f>'[193]Arc Results'!$I$59</f>
        <v>1771.0000000000002</v>
      </c>
      <c r="AE40" s="22">
        <f>'[193]Arc Results'!$I$114</f>
        <v>308.22586872586874</v>
      </c>
      <c r="AF40" s="22">
        <f>'[193]Arc Results'!$I$125</f>
        <v>336.3</v>
      </c>
      <c r="AG40" s="22">
        <f>'[193]Arc Results'!$I$147</f>
        <v>2871.5637065637065</v>
      </c>
      <c r="AH40" s="22">
        <f>'[193]Arc Results'!$I$158</f>
        <v>3252.4362934362998</v>
      </c>
      <c r="AI40" s="22">
        <f>'[193]Arc Results'!$I$213</f>
        <v>5176.7999999999811</v>
      </c>
      <c r="AJ40" s="22">
        <f>'[193]Arc Results'!$I$224</f>
        <v>6327.2000000000007</v>
      </c>
      <c r="AK40" s="22">
        <f>'[193]Arc Results'!$I$180</f>
        <v>3063</v>
      </c>
      <c r="AL40" s="22">
        <f>'[193]Arc Results'!$I$191</f>
        <v>3067</v>
      </c>
      <c r="AM40" s="22">
        <f>'[193]Arc Results'!$I$81</f>
        <v>2314</v>
      </c>
      <c r="AN40" s="22">
        <f>'[193]Arc Results'!$I$81</f>
        <v>2314</v>
      </c>
      <c r="AP40" s="9">
        <f t="shared" si="10"/>
        <v>1</v>
      </c>
      <c r="AQ40" s="9">
        <f t="shared" si="11"/>
        <v>1.1080197175230806</v>
      </c>
      <c r="AR40" s="9">
        <f t="shared" si="12"/>
        <v>1.0435578037071338</v>
      </c>
      <c r="AS40" s="9">
        <f t="shared" si="13"/>
        <v>1.0621934335193652</v>
      </c>
      <c r="AT40" s="9">
        <f t="shared" si="14"/>
        <v>1.1000000000000019</v>
      </c>
      <c r="AU40" s="9">
        <f t="shared" si="15"/>
        <v>1.000652528548124</v>
      </c>
      <c r="AV40" s="9">
        <f t="shared" si="16"/>
        <v>1</v>
      </c>
    </row>
    <row r="41" spans="1:48" ht="15.75">
      <c r="A41">
        <f t="shared" si="17"/>
        <v>37</v>
      </c>
      <c r="B41" s="9">
        <v>2020</v>
      </c>
      <c r="C41" s="9" t="s">
        <v>89</v>
      </c>
      <c r="D41" s="9" t="s">
        <v>5</v>
      </c>
      <c r="E41" s="7" t="s">
        <v>6</v>
      </c>
      <c r="F41" s="20" t="s">
        <v>85</v>
      </c>
      <c r="G41" s="7" t="s">
        <v>8</v>
      </c>
      <c r="H41" s="7" t="s">
        <v>9</v>
      </c>
      <c r="I41" s="9" t="s">
        <v>45</v>
      </c>
      <c r="J41" s="9">
        <v>500</v>
      </c>
      <c r="K41" s="9">
        <v>0.8</v>
      </c>
      <c r="L41" s="21">
        <f>'[194]Arc Results'!$I$10960+'[194]Arc Results'!$I$10971+'[194]Arc Results'!$I$10982+'[194]Arc Results'!$I$10993+'[194]Arc Results'!$I$11004+'[194]Arc Results'!$I$11015+'[194]Arc Results'!$I$11026+'[194]Arc Results'!$I$11037+'[194]Arc Results'!$I$11048+'[194]Arc Results'!$I$11059+'[194]Arc Results'!$I$11070+'[194]Arc Results'!$I$11081+'[194]Arc Results'!$I$11092+'[194]Arc Results'!$I$11103+'[194]Arc Results'!$I$11114+'[194]Arc Results'!$I$11125+'[194]Arc Results'!$I$11136+'[194]Arc Results'!$I$11147+'[194]Arc Results'!$I$11158+'[194]Arc Results'!$I$11169+'[194]Arc Results'!$I$11180+'[194]Arc Results'!$I$11191+'[194]Arc Results'!$I$11202+'[194]Arc Results'!$I$11213+'[194]Arc Results'!$I$11224+'[194]Arc Results'!$I$11235+'[194]Arc Results'!$I$11246+'[194]Arc Results'!$I$11257+'[194]Arc Results'!$I$11268</f>
        <v>3980.2322143629376</v>
      </c>
      <c r="M41" s="21">
        <f>'[194]Arc Results'!$I$257</f>
        <v>6165.6514285714284</v>
      </c>
      <c r="N41" s="21">
        <f t="shared" si="1"/>
        <v>5719.3967181467178</v>
      </c>
      <c r="O41" s="21">
        <f t="shared" si="2"/>
        <v>10049.594594594595</v>
      </c>
      <c r="P41" s="22">
        <f t="shared" si="3"/>
        <v>7657.297149068916</v>
      </c>
      <c r="Q41" s="22">
        <f t="shared" si="4"/>
        <v>2368.569498069498</v>
      </c>
      <c r="R41" s="22">
        <f t="shared" si="5"/>
        <v>559.02895752895756</v>
      </c>
      <c r="S41" s="22">
        <f t="shared" si="6"/>
        <v>0</v>
      </c>
      <c r="T41" s="22">
        <f t="shared" si="7"/>
        <v>6130</v>
      </c>
      <c r="U41" s="21" t="str">
        <f>[194]Log!$K$2</f>
        <v>327.220.984,63</v>
      </c>
      <c r="V41" s="21" t="str">
        <f>[194]Log!$J$2</f>
        <v>47.021.195,86</v>
      </c>
      <c r="W41" s="21" t="str">
        <f>[194]Log!$N$2</f>
        <v>71.948.395,79</v>
      </c>
      <c r="X41" s="23">
        <f t="shared" si="8"/>
        <v>0</v>
      </c>
      <c r="Y41" s="22"/>
      <c r="Z41" s="24">
        <f t="shared" si="9"/>
        <v>38649.538345980109</v>
      </c>
      <c r="AA41" s="22">
        <f>'[194]Arc Results'!$I$15</f>
        <v>0</v>
      </c>
      <c r="AB41" s="22">
        <f>'[194]Arc Results'!$I$26</f>
        <v>0</v>
      </c>
      <c r="AC41" s="22">
        <f>'[194]Arc Results'!$I$48</f>
        <v>1063.5801158301158</v>
      </c>
      <c r="AD41" s="22">
        <f>'[194]Arc Results'!$I$59</f>
        <v>1304.9893822393822</v>
      </c>
      <c r="AE41" s="22">
        <f>'[194]Arc Results'!$I$114</f>
        <v>263.56370656370655</v>
      </c>
      <c r="AF41" s="22">
        <f>'[194]Arc Results'!$I$125</f>
        <v>295.46525096525096</v>
      </c>
      <c r="AG41" s="22">
        <f>'[194]Arc Results'!$I$147</f>
        <v>2839.9227799227801</v>
      </c>
      <c r="AH41" s="22">
        <f>'[194]Arc Results'!$I$158</f>
        <v>2879.4739382239381</v>
      </c>
      <c r="AI41" s="22">
        <f>'[194]Arc Results'!$I$213</f>
        <v>4848.1081081081084</v>
      </c>
      <c r="AJ41" s="22">
        <f>'[194]Arc Results'!$I$224</f>
        <v>5201.4864864864867</v>
      </c>
      <c r="AK41" s="22">
        <f>'[194]Arc Results'!$I$180</f>
        <v>3063</v>
      </c>
      <c r="AL41" s="22">
        <f>'[194]Arc Results'!$I$191</f>
        <v>3067</v>
      </c>
      <c r="AM41" s="22">
        <f>'[194]Arc Results'!$I$81</f>
        <v>3828.648574534458</v>
      </c>
      <c r="AN41" s="22">
        <f>'[194]Arc Results'!$I$81</f>
        <v>3828.648574534458</v>
      </c>
      <c r="AP41" s="9" t="e">
        <f t="shared" si="10"/>
        <v>#DIV/0!</v>
      </c>
      <c r="AQ41" s="9">
        <f t="shared" si="11"/>
        <v>1.1019219687689243</v>
      </c>
      <c r="AR41" s="9">
        <f t="shared" si="12"/>
        <v>1.0570659962635154</v>
      </c>
      <c r="AS41" s="9">
        <f t="shared" si="13"/>
        <v>1.0069152675098878</v>
      </c>
      <c r="AT41" s="9">
        <f t="shared" si="14"/>
        <v>1.0351634461521912</v>
      </c>
      <c r="AU41" s="9">
        <f t="shared" si="15"/>
        <v>1.000652528548124</v>
      </c>
      <c r="AV41" s="9">
        <f t="shared" si="16"/>
        <v>1</v>
      </c>
    </row>
    <row r="42" spans="1:48" ht="15.75">
      <c r="A42">
        <f t="shared" si="17"/>
        <v>38</v>
      </c>
      <c r="B42" s="9">
        <v>2020</v>
      </c>
      <c r="C42" s="9" t="s">
        <v>89</v>
      </c>
      <c r="D42" s="9" t="s">
        <v>5</v>
      </c>
      <c r="E42" s="7" t="s">
        <v>6</v>
      </c>
      <c r="F42" s="7" t="s">
        <v>86</v>
      </c>
      <c r="G42" s="7" t="s">
        <v>8</v>
      </c>
      <c r="H42" s="7" t="s">
        <v>9</v>
      </c>
      <c r="I42" s="9" t="s">
        <v>45</v>
      </c>
      <c r="J42" s="9">
        <v>500</v>
      </c>
      <c r="K42" s="9">
        <v>0.8</v>
      </c>
      <c r="L42" s="21">
        <f>'[195]Arc Results'!$I$10960+'[195]Arc Results'!$I$10971+'[195]Arc Results'!$I$10982+'[195]Arc Results'!$I$10993+'[195]Arc Results'!$I$11004+'[195]Arc Results'!$I$11015+'[195]Arc Results'!$I$11026+'[195]Arc Results'!$I$11037+'[195]Arc Results'!$I$11048+'[195]Arc Results'!$I$11059+'[195]Arc Results'!$I$11070+'[195]Arc Results'!$I$11081+'[195]Arc Results'!$I$11092+'[195]Arc Results'!$I$11103+'[195]Arc Results'!$I$11114+'[195]Arc Results'!$I$11125+'[195]Arc Results'!$I$11136+'[195]Arc Results'!$I$11147+'[195]Arc Results'!$I$11158+'[195]Arc Results'!$I$11169+'[195]Arc Results'!$I$11180+'[195]Arc Results'!$I$11191+'[195]Arc Results'!$I$11202+'[195]Arc Results'!$I$11213+'[195]Arc Results'!$I$11224+'[195]Arc Results'!$I$11235+'[195]Arc Results'!$I$11246+'[195]Arc Results'!$I$11257+'[195]Arc Results'!$I$11268</f>
        <v>4159.8862460060855</v>
      </c>
      <c r="M42" s="21">
        <f>'[195]Arc Results'!$I$257</f>
        <v>6165.6514285714393</v>
      </c>
      <c r="N42" s="21">
        <f t="shared" si="1"/>
        <v>5758.9478764478772</v>
      </c>
      <c r="O42" s="21">
        <f t="shared" si="2"/>
        <v>10402.972972972973</v>
      </c>
      <c r="P42" s="22">
        <f t="shared" si="3"/>
        <v>8405.9681467181472</v>
      </c>
      <c r="Q42" s="22">
        <f t="shared" si="4"/>
        <v>608.29359716859722</v>
      </c>
      <c r="R42" s="22">
        <f t="shared" si="5"/>
        <v>590.93050193050192</v>
      </c>
      <c r="S42" s="22">
        <f t="shared" si="6"/>
        <v>670</v>
      </c>
      <c r="T42" s="22">
        <f t="shared" si="7"/>
        <v>6130</v>
      </c>
      <c r="U42" s="21" t="str">
        <f>[195]Log!$K$2</f>
        <v>329.629.233,75</v>
      </c>
      <c r="V42" s="21" t="str">
        <f>[195]Log!$J$2</f>
        <v>47.021.195,86</v>
      </c>
      <c r="W42" s="21" t="str">
        <f>[195]Log!$N$2</f>
        <v>71.948.395,79</v>
      </c>
      <c r="X42" s="23">
        <f t="shared" si="8"/>
        <v>0</v>
      </c>
      <c r="Y42" s="22"/>
      <c r="Z42" s="24">
        <f t="shared" si="9"/>
        <v>38732.764523809543</v>
      </c>
      <c r="AA42" s="22">
        <f>'[195]Arc Results'!$I$15</f>
        <v>335</v>
      </c>
      <c r="AB42" s="22">
        <f>'[195]Arc Results'!$I$26</f>
        <v>335</v>
      </c>
      <c r="AC42" s="22">
        <f>'[195]Arc Results'!$I$48</f>
        <v>279</v>
      </c>
      <c r="AD42" s="22">
        <f>'[195]Arc Results'!$I$59</f>
        <v>329.29359716859716</v>
      </c>
      <c r="AE42" s="22">
        <f>'[195]Arc Results'!$I$114</f>
        <v>282.70463320463318</v>
      </c>
      <c r="AF42" s="22">
        <f>'[195]Arc Results'!$I$125</f>
        <v>308.22586872586874</v>
      </c>
      <c r="AG42" s="22">
        <f>'[195]Arc Results'!$I$147</f>
        <v>2863.6534749034749</v>
      </c>
      <c r="AH42" s="22">
        <f>'[195]Arc Results'!$I$158</f>
        <v>2895.2944015444018</v>
      </c>
      <c r="AI42" s="22">
        <f>'[195]Arc Results'!$I$213</f>
        <v>5060.135135135135</v>
      </c>
      <c r="AJ42" s="22">
        <f>'[195]Arc Results'!$I$224</f>
        <v>5342.8378378378375</v>
      </c>
      <c r="AK42" s="22">
        <f>'[195]Arc Results'!$I$180</f>
        <v>3063</v>
      </c>
      <c r="AL42" s="22">
        <f>'[195]Arc Results'!$I$191</f>
        <v>3067</v>
      </c>
      <c r="AM42" s="22">
        <f>'[195]Arc Results'!$I$81</f>
        <v>4202.9840733590736</v>
      </c>
      <c r="AN42" s="22">
        <f>'[195]Arc Results'!$I$81</f>
        <v>4202.9840733590736</v>
      </c>
      <c r="AP42" s="9">
        <f t="shared" si="10"/>
        <v>1</v>
      </c>
      <c r="AQ42" s="9">
        <f t="shared" si="11"/>
        <v>1.0826798069266172</v>
      </c>
      <c r="AR42" s="9">
        <f t="shared" si="12"/>
        <v>1.0431882183063161</v>
      </c>
      <c r="AS42" s="9">
        <f t="shared" si="13"/>
        <v>1.0054942200068049</v>
      </c>
      <c r="AT42" s="9">
        <f t="shared" si="14"/>
        <v>1.027175183809202</v>
      </c>
      <c r="AU42" s="9">
        <f t="shared" si="15"/>
        <v>1.000652528548124</v>
      </c>
      <c r="AV42" s="9">
        <f t="shared" si="16"/>
        <v>1</v>
      </c>
    </row>
    <row r="43" spans="1:48" ht="15.75">
      <c r="A43">
        <f t="shared" si="17"/>
        <v>39</v>
      </c>
      <c r="B43" s="9">
        <v>2020</v>
      </c>
      <c r="C43" s="9" t="s">
        <v>89</v>
      </c>
      <c r="D43" s="9" t="s">
        <v>5</v>
      </c>
      <c r="E43" s="7" t="s">
        <v>6</v>
      </c>
      <c r="F43" s="20" t="s">
        <v>87</v>
      </c>
      <c r="G43" s="7" t="s">
        <v>8</v>
      </c>
      <c r="H43" s="7" t="s">
        <v>9</v>
      </c>
      <c r="I43" s="9" t="s">
        <v>45</v>
      </c>
      <c r="J43" s="9">
        <v>500</v>
      </c>
      <c r="K43" s="9">
        <v>0.8</v>
      </c>
      <c r="L43" s="21">
        <f>'[196]Arc Results'!$I$10960+'[196]Arc Results'!$I$10971+'[196]Arc Results'!$I$10982+'[196]Arc Results'!$I$10993+'[196]Arc Results'!$I$11004+'[196]Arc Results'!$I$11015+'[196]Arc Results'!$I$11026+'[196]Arc Results'!$I$11037+'[196]Arc Results'!$I$11048+'[196]Arc Results'!$I$11059+'[196]Arc Results'!$I$11070+'[196]Arc Results'!$I$11081+'[196]Arc Results'!$I$11092+'[196]Arc Results'!$I$11103+'[196]Arc Results'!$I$11114+'[196]Arc Results'!$I$11125+'[196]Arc Results'!$I$11136+'[196]Arc Results'!$I$11147+'[196]Arc Results'!$I$11158+'[196]Arc Results'!$I$11169+'[196]Arc Results'!$I$11180+'[196]Arc Results'!$I$11191+'[196]Arc Results'!$I$11202+'[196]Arc Results'!$I$11213+'[196]Arc Results'!$I$11224+'[196]Arc Results'!$I$11235+'[196]Arc Results'!$I$11246+'[196]Arc Results'!$I$11257+'[196]Arc Results'!$I$11268</f>
        <v>4037.9421564478785</v>
      </c>
      <c r="M43" s="21">
        <f>'[196]Arc Results'!$I$257</f>
        <v>6165.6514285714165</v>
      </c>
      <c r="N43" s="21">
        <f t="shared" si="1"/>
        <v>5711.4864864864867</v>
      </c>
      <c r="O43" s="21">
        <f t="shared" si="2"/>
        <v>9978.9189189189201</v>
      </c>
      <c r="P43" s="22">
        <f t="shared" si="3"/>
        <v>7534.1293436293436</v>
      </c>
      <c r="Q43" s="22">
        <f t="shared" si="4"/>
        <v>2247.864864864865</v>
      </c>
      <c r="R43" s="22">
        <f t="shared" si="5"/>
        <v>374.00000000000068</v>
      </c>
      <c r="S43" s="22">
        <f t="shared" si="6"/>
        <v>591.20986797075079</v>
      </c>
      <c r="T43" s="22">
        <f t="shared" si="7"/>
        <v>6130</v>
      </c>
      <c r="U43" s="21" t="str">
        <f>[196]Log!$K$2</f>
        <v>327.624.884,03</v>
      </c>
      <c r="V43" s="21" t="str">
        <f>[196]Log!$J$2</f>
        <v>47.021.195,86</v>
      </c>
      <c r="W43" s="21" t="str">
        <f>[196]Log!$N$2</f>
        <v>71.948.395,79</v>
      </c>
      <c r="X43" s="23">
        <f t="shared" si="8"/>
        <v>0</v>
      </c>
      <c r="Y43" s="22"/>
      <c r="Z43" s="24">
        <f t="shared" si="9"/>
        <v>38733.260910441779</v>
      </c>
      <c r="AA43" s="22">
        <f>'[196]Arc Results'!$I$15</f>
        <v>256.20986797075079</v>
      </c>
      <c r="AB43" s="22">
        <f>'[196]Arc Results'!$I$26</f>
        <v>335</v>
      </c>
      <c r="AC43" s="22">
        <f>'[196]Arc Results'!$I$48</f>
        <v>1003.2277992277992</v>
      </c>
      <c r="AD43" s="22">
        <f>'[196]Arc Results'!$I$59</f>
        <v>1244.6370656370657</v>
      </c>
      <c r="AE43" s="22">
        <f>'[196]Arc Results'!$I$114</f>
        <v>187</v>
      </c>
      <c r="AF43" s="22">
        <f>'[196]Arc Results'!$I$125</f>
        <v>187.00000000000068</v>
      </c>
      <c r="AG43" s="22">
        <f>'[196]Arc Results'!$I$147</f>
        <v>2839.9227799227801</v>
      </c>
      <c r="AH43" s="22">
        <f>'[196]Arc Results'!$I$158</f>
        <v>2871.5637065637065</v>
      </c>
      <c r="AI43" s="22">
        <f>'[196]Arc Results'!$I$213</f>
        <v>4848.1081081081084</v>
      </c>
      <c r="AJ43" s="22">
        <f>'[196]Arc Results'!$I$224</f>
        <v>5130.8108108108108</v>
      </c>
      <c r="AK43" s="22">
        <f>'[196]Arc Results'!$I$180</f>
        <v>3063</v>
      </c>
      <c r="AL43" s="22">
        <f>'[196]Arc Results'!$I$191</f>
        <v>3066.9999999999995</v>
      </c>
      <c r="AM43" s="22">
        <f>'[196]Arc Results'!$I$81</f>
        <v>3767.0646718146718</v>
      </c>
      <c r="AN43" s="22">
        <f>'[196]Arc Results'!$I$81</f>
        <v>3767.0646718146718</v>
      </c>
      <c r="AP43" s="9">
        <f t="shared" si="10"/>
        <v>1.1332693114539611</v>
      </c>
      <c r="AQ43" s="9">
        <f t="shared" si="11"/>
        <v>1.1073949195890738</v>
      </c>
      <c r="AR43" s="9">
        <f t="shared" si="12"/>
        <v>1.0000000000000018</v>
      </c>
      <c r="AS43" s="9">
        <f t="shared" si="13"/>
        <v>1.0055398759527472</v>
      </c>
      <c r="AT43" s="9">
        <f t="shared" si="14"/>
        <v>1.0283299929581278</v>
      </c>
      <c r="AU43" s="9">
        <f t="shared" si="15"/>
        <v>1.0006525285481238</v>
      </c>
      <c r="AV43" s="9">
        <f t="shared" si="16"/>
        <v>1</v>
      </c>
    </row>
    <row r="44" spans="1:48" ht="15.75">
      <c r="A44">
        <f t="shared" si="17"/>
        <v>40</v>
      </c>
      <c r="B44" s="9">
        <v>2020</v>
      </c>
      <c r="C44" s="9" t="s">
        <v>89</v>
      </c>
      <c r="D44" s="9" t="s">
        <v>88</v>
      </c>
      <c r="E44" s="7" t="s">
        <v>6</v>
      </c>
      <c r="F44" s="20" t="s">
        <v>7</v>
      </c>
      <c r="G44" s="7" t="s">
        <v>8</v>
      </c>
      <c r="H44" s="7" t="s">
        <v>9</v>
      </c>
      <c r="I44" s="9" t="s">
        <v>45</v>
      </c>
      <c r="J44" s="9">
        <v>500</v>
      </c>
      <c r="K44" s="9">
        <v>0.8</v>
      </c>
      <c r="L44" s="21">
        <f>'[197]Arc Results'!$I$10960+'[197]Arc Results'!$I$10971+'[197]Arc Results'!$I$10982+'[197]Arc Results'!$I$10993+'[197]Arc Results'!$I$11004+'[197]Arc Results'!$I$11015+'[197]Arc Results'!$I$11026+'[197]Arc Results'!$I$11037+'[197]Arc Results'!$I$11048+'[197]Arc Results'!$I$11059+'[197]Arc Results'!$I$11070+'[197]Arc Results'!$I$11081+'[197]Arc Results'!$I$11092+'[197]Arc Results'!$I$11103+'[197]Arc Results'!$I$11114+'[197]Arc Results'!$I$11125+'[197]Arc Results'!$I$11136+'[197]Arc Results'!$I$11147+'[197]Arc Results'!$I$11158+'[197]Arc Results'!$I$11169+'[197]Arc Results'!$I$11180+'[197]Arc Results'!$I$11191+'[197]Arc Results'!$I$11202+'[197]Arc Results'!$I$11213+'[197]Arc Results'!$I$11224+'[197]Arc Results'!$I$11235+'[197]Arc Results'!$I$11246+'[197]Arc Results'!$I$11257+'[197]Arc Results'!$I$11268</f>
        <v>3207.6363031802011</v>
      </c>
      <c r="M44" s="21">
        <f>'[197]Arc Results'!$I$257</f>
        <v>14223.844769725049</v>
      </c>
      <c r="N44" s="21">
        <f t="shared" si="1"/>
        <v>5589.0332326283988</v>
      </c>
      <c r="O44" s="21">
        <f t="shared" si="2"/>
        <v>8884.8338368580062</v>
      </c>
      <c r="P44" s="22">
        <f t="shared" si="3"/>
        <v>5537.5921450151054</v>
      </c>
      <c r="Q44" s="22">
        <f t="shared" si="4"/>
        <v>1313.5891238670695</v>
      </c>
      <c r="R44" s="22">
        <f t="shared" si="5"/>
        <v>453.87915407854985</v>
      </c>
      <c r="S44" s="22">
        <f t="shared" si="6"/>
        <v>289.30513595166161</v>
      </c>
      <c r="T44" s="22">
        <f t="shared" si="7"/>
        <v>6130</v>
      </c>
      <c r="U44" s="21" t="str">
        <f>[197]Log!$K$2</f>
        <v>339.985.632,59</v>
      </c>
      <c r="V44" s="21" t="str">
        <f>[197]Log!$J$2</f>
        <v>88.973.415,72</v>
      </c>
      <c r="W44" s="21" t="str">
        <f>[197]Log!$N$2</f>
        <v>35.380.701,91</v>
      </c>
      <c r="X44" s="23">
        <f t="shared" si="8"/>
        <v>0</v>
      </c>
      <c r="Y44" s="22"/>
      <c r="Z44" s="24">
        <f t="shared" si="9"/>
        <v>42422.077398123845</v>
      </c>
      <c r="AA44" s="22">
        <f>'[197]Arc Results'!$I$15</f>
        <v>108.48942598187311</v>
      </c>
      <c r="AB44" s="22">
        <f>'[197]Arc Results'!$I$26</f>
        <v>180.81570996978851</v>
      </c>
      <c r="AC44" s="22">
        <f>'[197]Arc Results'!$I$48</f>
        <v>562.34592145015108</v>
      </c>
      <c r="AD44" s="22">
        <f>'[197]Arc Results'!$I$59</f>
        <v>751.24320241691839</v>
      </c>
      <c r="AE44" s="22">
        <f>'[197]Arc Results'!$I$114</f>
        <v>216.95468277945619</v>
      </c>
      <c r="AF44" s="22">
        <f>'[197]Arc Results'!$I$125</f>
        <v>236.92447129909365</v>
      </c>
      <c r="AG44" s="22">
        <f>'[197]Arc Results'!$I$147</f>
        <v>2782.1374622356498</v>
      </c>
      <c r="AH44" s="22">
        <f>'[197]Arc Results'!$I$158</f>
        <v>2806.8957703927495</v>
      </c>
      <c r="AI44" s="22">
        <f>'[197]Arc Results'!$I$213</f>
        <v>4331.8126888217521</v>
      </c>
      <c r="AJ44" s="22">
        <f>'[197]Arc Results'!$I$224</f>
        <v>4553.0211480362541</v>
      </c>
      <c r="AK44" s="22">
        <f>'[197]Arc Results'!$I$180</f>
        <v>3063</v>
      </c>
      <c r="AL44" s="22">
        <f>'[197]Arc Results'!$I$191</f>
        <v>3067</v>
      </c>
      <c r="AM44" s="22">
        <f>'[197]Arc Results'!$I$81</f>
        <v>2768.7960725075527</v>
      </c>
      <c r="AN44" s="22">
        <f>'[197]Arc Results'!$I$81</f>
        <v>2768.7960725075527</v>
      </c>
      <c r="AP44" s="9">
        <f t="shared" si="10"/>
        <v>1.25</v>
      </c>
      <c r="AQ44" s="9">
        <f t="shared" si="11"/>
        <v>1.1438024093947075</v>
      </c>
      <c r="AR44" s="9">
        <f t="shared" si="12"/>
        <v>1.0439980297402718</v>
      </c>
      <c r="AS44" s="9">
        <f t="shared" si="13"/>
        <v>1.0044298015643498</v>
      </c>
      <c r="AT44" s="9">
        <f t="shared" si="14"/>
        <v>1.0248973096488128</v>
      </c>
      <c r="AU44" s="9">
        <f t="shared" si="15"/>
        <v>1.000652528548124</v>
      </c>
      <c r="AV44" s="9">
        <f t="shared" si="16"/>
        <v>1</v>
      </c>
    </row>
    <row r="45" spans="1:48" ht="15.75">
      <c r="A45">
        <f t="shared" si="17"/>
        <v>41</v>
      </c>
      <c r="B45" s="9">
        <v>2020</v>
      </c>
      <c r="C45" s="9" t="s">
        <v>89</v>
      </c>
      <c r="D45" s="9" t="s">
        <v>88</v>
      </c>
      <c r="E45" s="7" t="s">
        <v>6</v>
      </c>
      <c r="F45" s="20" t="s">
        <v>76</v>
      </c>
      <c r="G45" s="7" t="s">
        <v>8</v>
      </c>
      <c r="H45" s="7" t="s">
        <v>9</v>
      </c>
      <c r="I45" s="9" t="s">
        <v>45</v>
      </c>
      <c r="J45" s="9">
        <v>500</v>
      </c>
      <c r="K45" s="9">
        <v>0.8</v>
      </c>
      <c r="L45" s="21">
        <f>'[198]Arc Results'!$I$10960+'[198]Arc Results'!$I$10971+'[198]Arc Results'!$I$10982+'[198]Arc Results'!$I$10993+'[198]Arc Results'!$I$11004+'[198]Arc Results'!$I$11015+'[198]Arc Results'!$I$11026+'[198]Arc Results'!$I$11037+'[198]Arc Results'!$I$11048+'[198]Arc Results'!$I$11059+'[198]Arc Results'!$I$11070+'[198]Arc Results'!$I$11081+'[198]Arc Results'!$I$11092+'[198]Arc Results'!$I$11103+'[198]Arc Results'!$I$11114+'[198]Arc Results'!$I$11125+'[198]Arc Results'!$I$11136+'[198]Arc Results'!$I$11147+'[198]Arc Results'!$I$11158+'[198]Arc Results'!$I$11169+'[198]Arc Results'!$I$11180+'[198]Arc Results'!$I$11191+'[198]Arc Results'!$I$11202+'[198]Arc Results'!$I$11213+'[198]Arc Results'!$I$11224+'[198]Arc Results'!$I$11235+'[198]Arc Results'!$I$11246+'[198]Arc Results'!$I$11257+'[198]Arc Results'!$I$11268</f>
        <v>3062.7278817300498</v>
      </c>
      <c r="M45" s="21">
        <f>'[198]Arc Results'!$I$257</f>
        <v>14223.844769725047</v>
      </c>
      <c r="N45" s="21">
        <f t="shared" si="1"/>
        <v>6123.9999999999973</v>
      </c>
      <c r="O45" s="21">
        <f t="shared" si="2"/>
        <v>8774.2296072507561</v>
      </c>
      <c r="P45" s="22">
        <f t="shared" si="3"/>
        <v>5310.1941087613295</v>
      </c>
      <c r="Q45" s="22">
        <f t="shared" si="4"/>
        <v>1262.0308588963885</v>
      </c>
      <c r="R45" s="22">
        <f t="shared" si="5"/>
        <v>443.89425981873109</v>
      </c>
      <c r="S45" s="22">
        <f t="shared" si="6"/>
        <v>253.1419939577039</v>
      </c>
      <c r="T45" s="22">
        <f t="shared" si="7"/>
        <v>6129.9999999999991</v>
      </c>
      <c r="U45" s="21" t="str">
        <f>[198]Log!$K$2</f>
        <v>322.393.651,59</v>
      </c>
      <c r="V45" s="21" t="str">
        <f>[198]Log!$J$2</f>
        <v>88.973.415,72</v>
      </c>
      <c r="W45" s="21" t="str">
        <f>[198]Log!$N$2</f>
        <v>35.380.701,91</v>
      </c>
      <c r="X45" s="23">
        <f t="shared" si="8"/>
        <v>0</v>
      </c>
      <c r="Y45" s="22"/>
      <c r="Z45" s="24">
        <f t="shared" si="9"/>
        <v>42521.335598409947</v>
      </c>
      <c r="AA45" s="22">
        <f>'[198]Arc Results'!$I$15</f>
        <v>90.407854984894257</v>
      </c>
      <c r="AB45" s="22">
        <f>'[198]Arc Results'!$I$26</f>
        <v>162.73413897280966</v>
      </c>
      <c r="AC45" s="22">
        <f>'[198]Arc Results'!$I$48</f>
        <v>515.1216012084592</v>
      </c>
      <c r="AD45" s="22">
        <f>'[198]Arc Results'!$I$59</f>
        <v>746.90925768792931</v>
      </c>
      <c r="AE45" s="22">
        <f>'[198]Arc Results'!$I$114</f>
        <v>211.96223564954681</v>
      </c>
      <c r="AF45" s="22">
        <f>'[198]Arc Results'!$I$125</f>
        <v>231.93202416918427</v>
      </c>
      <c r="AG45" s="22">
        <f>'[198]Arc Results'!$I$147</f>
        <v>2876.5285120845924</v>
      </c>
      <c r="AH45" s="22">
        <f>'[198]Arc Results'!$I$158</f>
        <v>3247.4714879154049</v>
      </c>
      <c r="AI45" s="22">
        <f>'[198]Arc Results'!$I$213</f>
        <v>4276.510574018127</v>
      </c>
      <c r="AJ45" s="22">
        <f>'[198]Arc Results'!$I$224</f>
        <v>4497.7190332326281</v>
      </c>
      <c r="AK45" s="22">
        <f>'[198]Arc Results'!$I$180</f>
        <v>3063</v>
      </c>
      <c r="AL45" s="22">
        <f>'[198]Arc Results'!$I$191</f>
        <v>3066.9999999999991</v>
      </c>
      <c r="AM45" s="22">
        <f>'[198]Arc Results'!$I$81</f>
        <v>2655.0970543806648</v>
      </c>
      <c r="AN45" s="22">
        <f>'[198]Arc Results'!$I$81</f>
        <v>2655.0970543806648</v>
      </c>
      <c r="AP45" s="9">
        <f t="shared" si="10"/>
        <v>1.2857142857142858</v>
      </c>
      <c r="AQ45" s="9">
        <f t="shared" si="11"/>
        <v>1.1836624317428832</v>
      </c>
      <c r="AR45" s="9">
        <f t="shared" si="12"/>
        <v>1.0449877151549387</v>
      </c>
      <c r="AS45" s="9">
        <f t="shared" si="13"/>
        <v>1.0605720078103875</v>
      </c>
      <c r="AT45" s="9">
        <f t="shared" si="14"/>
        <v>1.0252111546102807</v>
      </c>
      <c r="AU45" s="9">
        <f t="shared" si="15"/>
        <v>1.0006525285481238</v>
      </c>
      <c r="AV45" s="9">
        <f t="shared" si="16"/>
        <v>1</v>
      </c>
    </row>
    <row r="46" spans="1:48" ht="15.75">
      <c r="A46">
        <f t="shared" si="17"/>
        <v>42</v>
      </c>
      <c r="B46" s="9">
        <v>2020</v>
      </c>
      <c r="C46" s="9" t="s">
        <v>89</v>
      </c>
      <c r="D46" s="9" t="s">
        <v>88</v>
      </c>
      <c r="E46" s="7" t="s">
        <v>6</v>
      </c>
      <c r="F46" s="20" t="s">
        <v>77</v>
      </c>
      <c r="G46" s="7" t="s">
        <v>8</v>
      </c>
      <c r="H46" s="7" t="s">
        <v>9</v>
      </c>
      <c r="I46" s="9" t="s">
        <v>45</v>
      </c>
      <c r="J46" s="9">
        <v>500</v>
      </c>
      <c r="K46" s="9">
        <v>0.8</v>
      </c>
      <c r="L46" s="21">
        <f>'[199]Arc Results'!$I$10960+'[199]Arc Results'!$I$10971+'[199]Arc Results'!$I$10982+'[199]Arc Results'!$I$10993+'[199]Arc Results'!$I$11004+'[199]Arc Results'!$I$11015+'[199]Arc Results'!$I$11026+'[199]Arc Results'!$I$11037+'[199]Arc Results'!$I$11048+'[199]Arc Results'!$I$11059+'[199]Arc Results'!$I$11070+'[199]Arc Results'!$I$11081+'[199]Arc Results'!$I$11092+'[199]Arc Results'!$I$11103+'[199]Arc Results'!$I$11114+'[199]Arc Results'!$I$11125+'[199]Arc Results'!$I$11136+'[199]Arc Results'!$I$11147+'[199]Arc Results'!$I$11158+'[199]Arc Results'!$I$11169+'[199]Arc Results'!$I$11180+'[199]Arc Results'!$I$11191+'[199]Arc Results'!$I$11202+'[199]Arc Results'!$I$11213+'[199]Arc Results'!$I$11224+'[199]Arc Results'!$I$11235+'[199]Arc Results'!$I$11246+'[199]Arc Results'!$I$11257+'[199]Arc Results'!$I$11268</f>
        <v>3138.9000494037618</v>
      </c>
      <c r="M46" s="21">
        <f>'[199]Arc Results'!$I$257</f>
        <v>14223.844769725039</v>
      </c>
      <c r="N46" s="21">
        <f t="shared" si="1"/>
        <v>5490</v>
      </c>
      <c r="O46" s="21">
        <f t="shared" si="2"/>
        <v>11503.999999999996</v>
      </c>
      <c r="P46" s="22">
        <f t="shared" si="3"/>
        <v>4628</v>
      </c>
      <c r="Q46" s="22">
        <f t="shared" si="4"/>
        <v>630.2869011924596</v>
      </c>
      <c r="R46" s="22">
        <f t="shared" si="5"/>
        <v>374.00000000000011</v>
      </c>
      <c r="S46" s="22">
        <f t="shared" si="6"/>
        <v>0</v>
      </c>
      <c r="T46" s="22">
        <f t="shared" si="7"/>
        <v>6126</v>
      </c>
      <c r="U46" s="21" t="str">
        <f>[199]Log!$K$2</f>
        <v>309.148.721,81</v>
      </c>
      <c r="V46" s="21" t="str">
        <f>[199]Log!$J$2</f>
        <v>88.973.415,72</v>
      </c>
      <c r="W46" s="21" t="str">
        <f>[199]Log!$N$2</f>
        <v>35.380.701,91</v>
      </c>
      <c r="X46" s="23">
        <f t="shared" si="8"/>
        <v>0</v>
      </c>
      <c r="Y46" s="22"/>
      <c r="Z46" s="24">
        <f t="shared" si="9"/>
        <v>42976.131670917501</v>
      </c>
      <c r="AA46" s="22">
        <f>'[199]Arc Results'!$I$15</f>
        <v>0</v>
      </c>
      <c r="AB46" s="22">
        <f>'[199]Arc Results'!$I$26</f>
        <v>0</v>
      </c>
      <c r="AC46" s="22">
        <f>'[199]Arc Results'!$I$48</f>
        <v>279</v>
      </c>
      <c r="AD46" s="22">
        <f>'[199]Arc Results'!$I$59</f>
        <v>351.2869011924596</v>
      </c>
      <c r="AE46" s="22">
        <f>'[199]Arc Results'!$I$114</f>
        <v>187</v>
      </c>
      <c r="AF46" s="22">
        <f>'[199]Arc Results'!$I$125</f>
        <v>187.00000000000011</v>
      </c>
      <c r="AG46" s="22">
        <f>'[199]Arc Results'!$I$147</f>
        <v>2745</v>
      </c>
      <c r="AH46" s="22">
        <f>'[199]Arc Results'!$I$158</f>
        <v>2745</v>
      </c>
      <c r="AI46" s="22">
        <f>'[199]Arc Results'!$I$213</f>
        <v>5176.7999999999956</v>
      </c>
      <c r="AJ46" s="22">
        <f>'[199]Arc Results'!$I$224</f>
        <v>6327.2000000000007</v>
      </c>
      <c r="AK46" s="22">
        <f>'[199]Arc Results'!$I$180</f>
        <v>3063</v>
      </c>
      <c r="AL46" s="22">
        <f>'[199]Arc Results'!$I$191</f>
        <v>3063</v>
      </c>
      <c r="AM46" s="22">
        <f>'[199]Arc Results'!$I$81</f>
        <v>2314</v>
      </c>
      <c r="AN46" s="22">
        <f>'[199]Arc Results'!$I$81</f>
        <v>2314</v>
      </c>
      <c r="AP46" s="9" t="e">
        <f t="shared" si="10"/>
        <v>#DIV/0!</v>
      </c>
      <c r="AQ46" s="9">
        <f t="shared" si="11"/>
        <v>1.1146888838332158</v>
      </c>
      <c r="AR46" s="9">
        <f t="shared" si="12"/>
        <v>1.0000000000000002</v>
      </c>
      <c r="AS46" s="9">
        <f t="shared" si="13"/>
        <v>1</v>
      </c>
      <c r="AT46" s="9">
        <f t="shared" si="14"/>
        <v>1.1000000000000005</v>
      </c>
      <c r="AU46" s="9">
        <f t="shared" si="15"/>
        <v>1</v>
      </c>
      <c r="AV46" s="9">
        <f t="shared" si="16"/>
        <v>1</v>
      </c>
    </row>
    <row r="47" spans="1:48" ht="15.75">
      <c r="A47">
        <f t="shared" si="17"/>
        <v>43</v>
      </c>
      <c r="B47" s="9">
        <v>2020</v>
      </c>
      <c r="C47" s="9" t="s">
        <v>89</v>
      </c>
      <c r="D47" s="9" t="s">
        <v>88</v>
      </c>
      <c r="E47" s="7" t="s">
        <v>6</v>
      </c>
      <c r="F47" s="20" t="s">
        <v>78</v>
      </c>
      <c r="G47" s="7" t="s">
        <v>8</v>
      </c>
      <c r="H47" s="7" t="s">
        <v>9</v>
      </c>
      <c r="I47" s="9" t="s">
        <v>45</v>
      </c>
      <c r="J47" s="9">
        <v>500</v>
      </c>
      <c r="K47" s="9">
        <v>0.8</v>
      </c>
      <c r="L47" s="21">
        <f>'[200]Arc Results'!$I$10960+'[200]Arc Results'!$I$10971+'[200]Arc Results'!$I$10982+'[200]Arc Results'!$I$10993+'[200]Arc Results'!$I$11004+'[200]Arc Results'!$I$11015+'[200]Arc Results'!$I$11026+'[200]Arc Results'!$I$11037+'[200]Arc Results'!$I$11048+'[200]Arc Results'!$I$11059+'[200]Arc Results'!$I$11070+'[200]Arc Results'!$I$11081+'[200]Arc Results'!$I$11092+'[200]Arc Results'!$I$11103+'[200]Arc Results'!$I$11114+'[200]Arc Results'!$I$11125+'[200]Arc Results'!$I$11136+'[200]Arc Results'!$I$11147+'[200]Arc Results'!$I$11158+'[200]Arc Results'!$I$11169+'[200]Arc Results'!$I$11180+'[200]Arc Results'!$I$11191+'[200]Arc Results'!$I$11202+'[200]Arc Results'!$I$11213+'[200]Arc Results'!$I$11224+'[200]Arc Results'!$I$11235+'[200]Arc Results'!$I$11246+'[200]Arc Results'!$I$11257+'[200]Arc Results'!$I$11268</f>
        <v>3406.5303607170704</v>
      </c>
      <c r="M47" s="21">
        <f>'[200]Arc Results'!$I$257</f>
        <v>14223.844769725047</v>
      </c>
      <c r="N47" s="21">
        <f t="shared" si="1"/>
        <v>5490</v>
      </c>
      <c r="O47" s="21">
        <f t="shared" si="2"/>
        <v>8000</v>
      </c>
      <c r="P47" s="22">
        <f t="shared" si="3"/>
        <v>7516.8606226266111</v>
      </c>
      <c r="Q47" s="22">
        <f t="shared" si="4"/>
        <v>558</v>
      </c>
      <c r="R47" s="22">
        <f t="shared" si="5"/>
        <v>374.00000000000011</v>
      </c>
      <c r="S47" s="22">
        <f t="shared" si="6"/>
        <v>0</v>
      </c>
      <c r="T47" s="22">
        <f t="shared" si="7"/>
        <v>6126</v>
      </c>
      <c r="U47" s="21" t="str">
        <f>[200]Log!$K$2</f>
        <v>317.256.212,64</v>
      </c>
      <c r="V47" s="21" t="str">
        <f>[200]Log!$J$2</f>
        <v>88.973.415,72</v>
      </c>
      <c r="W47" s="21" t="str">
        <f>[200]Log!$N$2</f>
        <v>35.380.701,91</v>
      </c>
      <c r="X47" s="23">
        <f t="shared" si="8"/>
        <v>0</v>
      </c>
      <c r="Y47" s="22"/>
      <c r="Z47" s="24">
        <f t="shared" si="9"/>
        <v>42288.705392351658</v>
      </c>
      <c r="AA47" s="22">
        <f>'[200]Arc Results'!$I$15</f>
        <v>0</v>
      </c>
      <c r="AB47" s="22">
        <f>'[200]Arc Results'!$I$26</f>
        <v>0</v>
      </c>
      <c r="AC47" s="22">
        <f>'[200]Arc Results'!$I$48</f>
        <v>279</v>
      </c>
      <c r="AD47" s="22">
        <f>'[200]Arc Results'!$I$59</f>
        <v>279</v>
      </c>
      <c r="AE47" s="22">
        <f>'[200]Arc Results'!$I$114</f>
        <v>187</v>
      </c>
      <c r="AF47" s="22">
        <f>'[200]Arc Results'!$I$125</f>
        <v>187.00000000000011</v>
      </c>
      <c r="AG47" s="22">
        <f>'[200]Arc Results'!$I$147</f>
        <v>2745</v>
      </c>
      <c r="AH47" s="22">
        <f>'[200]Arc Results'!$I$158</f>
        <v>2745</v>
      </c>
      <c r="AI47" s="22">
        <f>'[200]Arc Results'!$I$213</f>
        <v>4000</v>
      </c>
      <c r="AJ47" s="22">
        <f>'[200]Arc Results'!$I$224</f>
        <v>4000</v>
      </c>
      <c r="AK47" s="22">
        <f>'[200]Arc Results'!$I$180</f>
        <v>3063</v>
      </c>
      <c r="AL47" s="22">
        <f>'[200]Arc Results'!$I$191</f>
        <v>3063</v>
      </c>
      <c r="AM47" s="22">
        <f>'[200]Arc Results'!$I$81</f>
        <v>3758.4303113133055</v>
      </c>
      <c r="AN47" s="22">
        <f>'[200]Arc Results'!$I$81</f>
        <v>3758.4303113133055</v>
      </c>
      <c r="AP47" s="9" t="e">
        <f t="shared" si="10"/>
        <v>#DIV/0!</v>
      </c>
      <c r="AQ47" s="9">
        <f t="shared" si="11"/>
        <v>1</v>
      </c>
      <c r="AR47" s="9">
        <f t="shared" si="12"/>
        <v>1.0000000000000002</v>
      </c>
      <c r="AS47" s="9">
        <f t="shared" si="13"/>
        <v>1</v>
      </c>
      <c r="AT47" s="9">
        <f t="shared" si="14"/>
        <v>1</v>
      </c>
      <c r="AU47" s="9">
        <f t="shared" si="15"/>
        <v>1</v>
      </c>
      <c r="AV47" s="9">
        <f t="shared" si="16"/>
        <v>1</v>
      </c>
    </row>
    <row r="48" spans="1:48" ht="15.75">
      <c r="A48">
        <f t="shared" si="17"/>
        <v>44</v>
      </c>
      <c r="B48" s="9">
        <v>2020</v>
      </c>
      <c r="C48" s="9" t="s">
        <v>89</v>
      </c>
      <c r="D48" s="9" t="s">
        <v>88</v>
      </c>
      <c r="E48" s="7" t="s">
        <v>6</v>
      </c>
      <c r="F48" s="20" t="s">
        <v>79</v>
      </c>
      <c r="G48" s="7" t="s">
        <v>8</v>
      </c>
      <c r="H48" s="7" t="s">
        <v>9</v>
      </c>
      <c r="I48" s="9" t="s">
        <v>45</v>
      </c>
      <c r="J48" s="9">
        <v>500</v>
      </c>
      <c r="K48" s="9">
        <v>0.8</v>
      </c>
      <c r="L48" s="21">
        <f>'[201]Arc Results'!$I$10960+'[201]Arc Results'!$I$10971+'[201]Arc Results'!$I$10982+'[201]Arc Results'!$I$10993+'[201]Arc Results'!$I$11004+'[201]Arc Results'!$I$11015+'[201]Arc Results'!$I$11026+'[201]Arc Results'!$I$11037+'[201]Arc Results'!$I$11048+'[201]Arc Results'!$I$11059+'[201]Arc Results'!$I$11070+'[201]Arc Results'!$I$11081+'[201]Arc Results'!$I$11092+'[201]Arc Results'!$I$11103+'[201]Arc Results'!$I$11114+'[201]Arc Results'!$I$11125+'[201]Arc Results'!$I$11136+'[201]Arc Results'!$I$11147+'[201]Arc Results'!$I$11158+'[201]Arc Results'!$I$11169+'[201]Arc Results'!$I$11180+'[201]Arc Results'!$I$11191+'[201]Arc Results'!$I$11202+'[201]Arc Results'!$I$11213+'[201]Arc Results'!$I$11224+'[201]Arc Results'!$I$11235+'[201]Arc Results'!$I$11246+'[201]Arc Results'!$I$11257+'[201]Arc Results'!$I$11268</f>
        <v>3206.7393998569387</v>
      </c>
      <c r="M48" s="21">
        <f>'[201]Arc Results'!$I$257</f>
        <v>14223.844769725054</v>
      </c>
      <c r="N48" s="21">
        <f t="shared" si="1"/>
        <v>5576.6540785498491</v>
      </c>
      <c r="O48" s="21">
        <f t="shared" si="2"/>
        <v>8786.6845598027248</v>
      </c>
      <c r="P48" s="22">
        <f t="shared" si="3"/>
        <v>5310.1941087613295</v>
      </c>
      <c r="Q48" s="22">
        <f t="shared" si="4"/>
        <v>1266.3648036253776</v>
      </c>
      <c r="R48" s="22">
        <f t="shared" si="5"/>
        <v>443.89425981873109</v>
      </c>
      <c r="S48" s="22">
        <f t="shared" si="6"/>
        <v>670</v>
      </c>
      <c r="T48" s="22">
        <f t="shared" si="7"/>
        <v>6130</v>
      </c>
      <c r="U48" s="21" t="str">
        <f>[201]Log!$K$2</f>
        <v>338.106.303,83</v>
      </c>
      <c r="V48" s="21" t="str">
        <f>[201]Log!$J$2</f>
        <v>88.973.415,72</v>
      </c>
      <c r="W48" s="21" t="str">
        <f>[201]Log!$N$2</f>
        <v>35.380.701,91</v>
      </c>
      <c r="X48" s="23">
        <f t="shared" si="8"/>
        <v>0</v>
      </c>
      <c r="Y48" s="22"/>
      <c r="Z48" s="24">
        <f t="shared" si="9"/>
        <v>42407.636580283062</v>
      </c>
      <c r="AA48" s="22">
        <f>'[201]Arc Results'!$I$15</f>
        <v>335</v>
      </c>
      <c r="AB48" s="22">
        <f>'[201]Arc Results'!$I$26</f>
        <v>335</v>
      </c>
      <c r="AC48" s="22">
        <f>'[201]Arc Results'!$I$48</f>
        <v>515.1216012084592</v>
      </c>
      <c r="AD48" s="22">
        <f>'[201]Arc Results'!$I$59</f>
        <v>751.24320241691839</v>
      </c>
      <c r="AE48" s="22">
        <f>'[201]Arc Results'!$I$114</f>
        <v>211.96223564954681</v>
      </c>
      <c r="AF48" s="22">
        <f>'[201]Arc Results'!$I$125</f>
        <v>231.93202416918427</v>
      </c>
      <c r="AG48" s="22">
        <f>'[201]Arc Results'!$I$147</f>
        <v>2775.9478851963745</v>
      </c>
      <c r="AH48" s="22">
        <f>'[201]Arc Results'!$I$158</f>
        <v>2800.7061933534742</v>
      </c>
      <c r="AI48" s="22">
        <f>'[201]Arc Results'!$I$213</f>
        <v>4276.510574018127</v>
      </c>
      <c r="AJ48" s="22">
        <f>'[201]Arc Results'!$I$224</f>
        <v>4510.1739857845987</v>
      </c>
      <c r="AK48" s="22">
        <f>'[201]Arc Results'!$I$180</f>
        <v>3063</v>
      </c>
      <c r="AL48" s="22">
        <f>'[201]Arc Results'!$I$191</f>
        <v>3067</v>
      </c>
      <c r="AM48" s="22">
        <f>'[201]Arc Results'!$I$81</f>
        <v>2655.0970543806648</v>
      </c>
      <c r="AN48" s="22">
        <f>'[201]Arc Results'!$I$81</f>
        <v>2655.0970543806648</v>
      </c>
      <c r="AP48" s="9">
        <f t="shared" si="10"/>
        <v>1</v>
      </c>
      <c r="AQ48" s="9">
        <f t="shared" si="11"/>
        <v>1.1864562253566153</v>
      </c>
      <c r="AR48" s="9">
        <f t="shared" si="12"/>
        <v>1.0449877151549387</v>
      </c>
      <c r="AS48" s="9">
        <f t="shared" si="13"/>
        <v>1.0044396349151958</v>
      </c>
      <c r="AT48" s="9">
        <f t="shared" si="14"/>
        <v>1.0265928986270243</v>
      </c>
      <c r="AU48" s="9">
        <f t="shared" si="15"/>
        <v>1.000652528548124</v>
      </c>
      <c r="AV48" s="9">
        <f t="shared" si="16"/>
        <v>1</v>
      </c>
    </row>
    <row r="49" spans="1:48" ht="15.75">
      <c r="A49">
        <f t="shared" si="17"/>
        <v>45</v>
      </c>
      <c r="B49" s="9">
        <v>2020</v>
      </c>
      <c r="C49" s="9" t="s">
        <v>89</v>
      </c>
      <c r="D49" s="9" t="s">
        <v>88</v>
      </c>
      <c r="E49" s="7" t="s">
        <v>6</v>
      </c>
      <c r="F49" s="20" t="s">
        <v>80</v>
      </c>
      <c r="G49" s="7" t="s">
        <v>8</v>
      </c>
      <c r="H49" s="7" t="s">
        <v>9</v>
      </c>
      <c r="I49" s="9" t="s">
        <v>45</v>
      </c>
      <c r="J49" s="9">
        <v>500</v>
      </c>
      <c r="K49" s="9">
        <v>0.8</v>
      </c>
      <c r="L49" s="21">
        <f>'[202]Arc Results'!$I$10960+'[202]Arc Results'!$I$10971+'[202]Arc Results'!$I$10982+'[202]Arc Results'!$I$10993+'[202]Arc Results'!$I$11004+'[202]Arc Results'!$I$11015+'[202]Arc Results'!$I$11026+'[202]Arc Results'!$I$11037+'[202]Arc Results'!$I$11048+'[202]Arc Results'!$I$11059+'[202]Arc Results'!$I$11070+'[202]Arc Results'!$I$11081+'[202]Arc Results'!$I$11092+'[202]Arc Results'!$I$11103+'[202]Arc Results'!$I$11114+'[202]Arc Results'!$I$11125+'[202]Arc Results'!$I$11136+'[202]Arc Results'!$I$11147+'[202]Arc Results'!$I$11158+'[202]Arc Results'!$I$11169+'[202]Arc Results'!$I$11180+'[202]Arc Results'!$I$11191+'[202]Arc Results'!$I$11202+'[202]Arc Results'!$I$11213+'[202]Arc Results'!$I$11224+'[202]Arc Results'!$I$11235+'[202]Arc Results'!$I$11246+'[202]Arc Results'!$I$11257+'[202]Arc Results'!$I$11268</f>
        <v>3216.6657593735545</v>
      </c>
      <c r="M49" s="21">
        <f>'[202]Arc Results'!$I$257</f>
        <v>14223.844769725047</v>
      </c>
      <c r="N49" s="21">
        <f t="shared" si="1"/>
        <v>5527.1374622356489</v>
      </c>
      <c r="O49" s="21">
        <f t="shared" si="2"/>
        <v>8331.8126888217521</v>
      </c>
      <c r="P49" s="22">
        <f t="shared" si="3"/>
        <v>4628</v>
      </c>
      <c r="Q49" s="22">
        <f t="shared" si="4"/>
        <v>3219.9999999999986</v>
      </c>
      <c r="R49" s="22">
        <f t="shared" si="5"/>
        <v>403.95468277945616</v>
      </c>
      <c r="S49" s="22">
        <f t="shared" si="6"/>
        <v>108.48942598187311</v>
      </c>
      <c r="T49" s="22">
        <f t="shared" si="7"/>
        <v>6126.0000000000018</v>
      </c>
      <c r="U49" s="21" t="str">
        <f>[202]Log!$K$2</f>
        <v>332.354.290,74</v>
      </c>
      <c r="V49" s="21" t="str">
        <f>[202]Log!$J$2</f>
        <v>88.973.415,72</v>
      </c>
      <c r="W49" s="21" t="str">
        <f>[202]Log!$N$2</f>
        <v>35.380.701,91</v>
      </c>
      <c r="X49" s="23">
        <f t="shared" si="8"/>
        <v>0</v>
      </c>
      <c r="Y49" s="22"/>
      <c r="Z49" s="24">
        <f t="shared" si="9"/>
        <v>42569.23902954378</v>
      </c>
      <c r="AA49" s="22">
        <f>'[202]Arc Results'!$I$15</f>
        <v>18.081570996978851</v>
      </c>
      <c r="AB49" s="22">
        <f>'[202]Arc Results'!$I$26</f>
        <v>90.407854984894257</v>
      </c>
      <c r="AC49" s="22">
        <f>'[202]Arc Results'!$I$48</f>
        <v>1448.9999999999984</v>
      </c>
      <c r="AD49" s="22">
        <f>'[202]Arc Results'!$I$59</f>
        <v>1771.0000000000002</v>
      </c>
      <c r="AE49" s="22">
        <f>'[202]Arc Results'!$I$114</f>
        <v>191.99244712990935</v>
      </c>
      <c r="AF49" s="22">
        <f>'[202]Arc Results'!$I$125</f>
        <v>211.96223564954681</v>
      </c>
      <c r="AG49" s="22">
        <f>'[202]Arc Results'!$I$147</f>
        <v>2751.1895770392748</v>
      </c>
      <c r="AH49" s="22">
        <f>'[202]Arc Results'!$I$158</f>
        <v>2775.9478851963745</v>
      </c>
      <c r="AI49" s="22">
        <f>'[202]Arc Results'!$I$213</f>
        <v>4055.3021148036255</v>
      </c>
      <c r="AJ49" s="22">
        <f>'[202]Arc Results'!$I$224</f>
        <v>4276.510574018127</v>
      </c>
      <c r="AK49" s="22">
        <f>'[202]Arc Results'!$I$180</f>
        <v>3063</v>
      </c>
      <c r="AL49" s="22">
        <f>'[202]Arc Results'!$I$191</f>
        <v>3063.0000000000018</v>
      </c>
      <c r="AM49" s="22">
        <f>'[202]Arc Results'!$I$81</f>
        <v>2314</v>
      </c>
      <c r="AN49" s="22">
        <f>'[202]Arc Results'!$I$81</f>
        <v>2314</v>
      </c>
      <c r="AP49" s="9">
        <f t="shared" si="10"/>
        <v>1.6666666666666665</v>
      </c>
      <c r="AQ49" s="9">
        <f t="shared" si="11"/>
        <v>1.1000000000000005</v>
      </c>
      <c r="AR49" s="9">
        <f t="shared" si="12"/>
        <v>1.0494357148733444</v>
      </c>
      <c r="AS49" s="9">
        <f t="shared" si="13"/>
        <v>1.0044794087945637</v>
      </c>
      <c r="AT49" s="9">
        <f t="shared" si="14"/>
        <v>1.0265498598535805</v>
      </c>
      <c r="AU49" s="9">
        <f t="shared" si="15"/>
        <v>1.0000000000000002</v>
      </c>
      <c r="AV49" s="9">
        <f t="shared" si="16"/>
        <v>1</v>
      </c>
    </row>
    <row r="50" spans="1:48" ht="15.75">
      <c r="A50">
        <f t="shared" si="17"/>
        <v>46</v>
      </c>
      <c r="B50" s="9">
        <v>2020</v>
      </c>
      <c r="C50" s="9" t="s">
        <v>89</v>
      </c>
      <c r="D50" s="9" t="s">
        <v>88</v>
      </c>
      <c r="E50" s="7" t="s">
        <v>6</v>
      </c>
      <c r="F50" s="20" t="s">
        <v>81</v>
      </c>
      <c r="G50" s="7" t="s">
        <v>8</v>
      </c>
      <c r="H50" s="7" t="s">
        <v>9</v>
      </c>
      <c r="I50" s="9" t="s">
        <v>45</v>
      </c>
      <c r="J50" s="9">
        <v>500</v>
      </c>
      <c r="K50" s="9">
        <v>0.8</v>
      </c>
      <c r="L50" s="21">
        <f>'[203]Arc Results'!$I$10960+'[203]Arc Results'!$I$10971+'[203]Arc Results'!$I$10982+'[203]Arc Results'!$I$10993+'[203]Arc Results'!$I$11004+'[203]Arc Results'!$I$11015+'[203]Arc Results'!$I$11026+'[203]Arc Results'!$I$11037+'[203]Arc Results'!$I$11048+'[203]Arc Results'!$I$11059+'[203]Arc Results'!$I$11070+'[203]Arc Results'!$I$11081+'[203]Arc Results'!$I$11092+'[203]Arc Results'!$I$11103+'[203]Arc Results'!$I$11114+'[203]Arc Results'!$I$11125+'[203]Arc Results'!$I$11136+'[203]Arc Results'!$I$11147+'[203]Arc Results'!$I$11158+'[203]Arc Results'!$I$11169+'[203]Arc Results'!$I$11180+'[203]Arc Results'!$I$11191+'[203]Arc Results'!$I$11202+'[203]Arc Results'!$I$11213+'[203]Arc Results'!$I$11224+'[203]Arc Results'!$I$11235+'[203]Arc Results'!$I$11246+'[203]Arc Results'!$I$11257+'[203]Arc Results'!$I$11268</f>
        <v>3207.5189747654113</v>
      </c>
      <c r="M50" s="21">
        <f>'[203]Arc Results'!$I$257</f>
        <v>14223.844769725052</v>
      </c>
      <c r="N50" s="21">
        <f t="shared" si="1"/>
        <v>5582.843655589124</v>
      </c>
      <c r="O50" s="21">
        <f t="shared" si="2"/>
        <v>8829.5317220543802</v>
      </c>
      <c r="P50" s="22">
        <f t="shared" si="3"/>
        <v>5537.5921450151054</v>
      </c>
      <c r="Q50" s="22">
        <f t="shared" si="4"/>
        <v>1274.2997410716134</v>
      </c>
      <c r="R50" s="22">
        <f t="shared" si="5"/>
        <v>672</v>
      </c>
      <c r="S50" s="22">
        <f t="shared" si="6"/>
        <v>271.22356495468279</v>
      </c>
      <c r="T50" s="22">
        <f t="shared" si="7"/>
        <v>6130</v>
      </c>
      <c r="U50" s="21" t="str">
        <f>[203]Log!$K$2</f>
        <v>338.166.135,85</v>
      </c>
      <c r="V50" s="21" t="str">
        <f>[203]Log!$J$2</f>
        <v>88.973.415,72</v>
      </c>
      <c r="W50" s="21" t="str">
        <f>[203]Log!$N$2</f>
        <v>35.380.701,91</v>
      </c>
      <c r="X50" s="23">
        <f t="shared" si="8"/>
        <v>0</v>
      </c>
      <c r="Y50" s="22"/>
      <c r="Z50" s="24">
        <f t="shared" si="9"/>
        <v>42521.335598409962</v>
      </c>
      <c r="AA50" s="22">
        <f>'[203]Arc Results'!$I$15</f>
        <v>90.407854984894257</v>
      </c>
      <c r="AB50" s="22">
        <f>'[203]Arc Results'!$I$26</f>
        <v>180.81570996978851</v>
      </c>
      <c r="AC50" s="22">
        <f>'[203]Arc Results'!$I$48</f>
        <v>523.05653865469515</v>
      </c>
      <c r="AD50" s="22">
        <f>'[203]Arc Results'!$I$59</f>
        <v>751.24320241691839</v>
      </c>
      <c r="AE50" s="22">
        <f>'[203]Arc Results'!$I$114</f>
        <v>335.7</v>
      </c>
      <c r="AF50" s="22">
        <f>'[203]Arc Results'!$I$125</f>
        <v>336.3</v>
      </c>
      <c r="AG50" s="22">
        <f>'[203]Arc Results'!$I$147</f>
        <v>2775.9478851963745</v>
      </c>
      <c r="AH50" s="22">
        <f>'[203]Arc Results'!$I$158</f>
        <v>2806.8957703927495</v>
      </c>
      <c r="AI50" s="22">
        <f>'[203]Arc Results'!$I$213</f>
        <v>4276.510574018127</v>
      </c>
      <c r="AJ50" s="22">
        <f>'[203]Arc Results'!$I$224</f>
        <v>4553.0211480362541</v>
      </c>
      <c r="AK50" s="22">
        <f>'[203]Arc Results'!$I$180</f>
        <v>3063</v>
      </c>
      <c r="AL50" s="22">
        <f>'[203]Arc Results'!$I$191</f>
        <v>3066.9999999999995</v>
      </c>
      <c r="AM50" s="22">
        <f>'[203]Arc Results'!$I$81</f>
        <v>2768.7960725075527</v>
      </c>
      <c r="AN50" s="22">
        <f>'[203]Arc Results'!$I$81</f>
        <v>2768.7960725075527</v>
      </c>
      <c r="AP50" s="9">
        <f t="shared" si="10"/>
        <v>1.3333333333333333</v>
      </c>
      <c r="AQ50" s="9">
        <f t="shared" si="11"/>
        <v>1.1790682807251702</v>
      </c>
      <c r="AR50" s="9">
        <f t="shared" si="12"/>
        <v>1.0008928571428573</v>
      </c>
      <c r="AS50" s="9">
        <f t="shared" si="13"/>
        <v>1.0055433909859526</v>
      </c>
      <c r="AT50" s="9">
        <f t="shared" si="14"/>
        <v>1.0313165615938</v>
      </c>
      <c r="AU50" s="9">
        <f t="shared" si="15"/>
        <v>1.0006525285481238</v>
      </c>
      <c r="AV50" s="9">
        <f t="shared" si="16"/>
        <v>1</v>
      </c>
    </row>
    <row r="51" spans="1:48" ht="15.75">
      <c r="A51">
        <f t="shared" si="17"/>
        <v>47</v>
      </c>
      <c r="B51" s="9">
        <v>2020</v>
      </c>
      <c r="C51" s="9" t="s">
        <v>89</v>
      </c>
      <c r="D51" s="9" t="s">
        <v>88</v>
      </c>
      <c r="E51" s="7" t="s">
        <v>6</v>
      </c>
      <c r="F51" s="20" t="s">
        <v>82</v>
      </c>
      <c r="G51" s="7" t="s">
        <v>8</v>
      </c>
      <c r="H51" s="7" t="s">
        <v>9</v>
      </c>
      <c r="I51" s="9" t="s">
        <v>45</v>
      </c>
      <c r="J51" s="9">
        <v>500</v>
      </c>
      <c r="K51" s="9">
        <v>0.8</v>
      </c>
      <c r="L51" s="21">
        <f>'[204]Arc Results'!$I$10960+'[204]Arc Results'!$I$10971+'[204]Arc Results'!$I$10982+'[204]Arc Results'!$I$10993+'[204]Arc Results'!$I$11004+'[204]Arc Results'!$I$11015+'[204]Arc Results'!$I$11026+'[204]Arc Results'!$I$11037+'[204]Arc Results'!$I$11048+'[204]Arc Results'!$I$11059+'[204]Arc Results'!$I$11070+'[204]Arc Results'!$I$11081+'[204]Arc Results'!$I$11092+'[204]Arc Results'!$I$11103+'[204]Arc Results'!$I$11114+'[204]Arc Results'!$I$11125+'[204]Arc Results'!$I$11136+'[204]Arc Results'!$I$11147+'[204]Arc Results'!$I$11158+'[204]Arc Results'!$I$11169+'[204]Arc Results'!$I$11180+'[204]Arc Results'!$I$11191+'[204]Arc Results'!$I$11202+'[204]Arc Results'!$I$11213+'[204]Arc Results'!$I$11224+'[204]Arc Results'!$I$11235+'[204]Arc Results'!$I$11246+'[204]Arc Results'!$I$11257+'[204]Arc Results'!$I$11268</f>
        <v>3170.4988409445518</v>
      </c>
      <c r="M51" s="21">
        <f>'[204]Arc Results'!$I$257</f>
        <v>14223.844769725052</v>
      </c>
      <c r="N51" s="21">
        <f t="shared" si="1"/>
        <v>5490</v>
      </c>
      <c r="O51" s="21">
        <f t="shared" si="2"/>
        <v>8922.2019314039317</v>
      </c>
      <c r="P51" s="22">
        <f t="shared" si="3"/>
        <v>5537.5921450151054</v>
      </c>
      <c r="Q51" s="22">
        <f t="shared" si="4"/>
        <v>1360.8134441087614</v>
      </c>
      <c r="R51" s="22">
        <f t="shared" si="5"/>
        <v>453.87915407854985</v>
      </c>
      <c r="S51" s="22">
        <f t="shared" si="6"/>
        <v>289.30513595166161</v>
      </c>
      <c r="T51" s="22">
        <f t="shared" si="7"/>
        <v>6129.9999999999991</v>
      </c>
      <c r="U51" s="21" t="str">
        <f>[204]Log!$K$2</f>
        <v>356.417.712,20</v>
      </c>
      <c r="V51" s="21" t="str">
        <f>[204]Log!$J$2</f>
        <v>88.973.415,72</v>
      </c>
      <c r="W51" s="21" t="str">
        <f>[204]Log!$N$2</f>
        <v>35.380.701,91</v>
      </c>
      <c r="X51" s="23">
        <f t="shared" si="8"/>
        <v>0</v>
      </c>
      <c r="Y51" s="22"/>
      <c r="Z51" s="24">
        <f t="shared" si="9"/>
        <v>42407.636580283062</v>
      </c>
      <c r="AA51" s="22">
        <f>'[204]Arc Results'!$I$15</f>
        <v>108.48942598187311</v>
      </c>
      <c r="AB51" s="22">
        <f>'[204]Arc Results'!$I$26</f>
        <v>180.81570996978851</v>
      </c>
      <c r="AC51" s="22">
        <f>'[204]Arc Results'!$I$48</f>
        <v>562.34592145015108</v>
      </c>
      <c r="AD51" s="22">
        <f>'[204]Arc Results'!$I$59</f>
        <v>798.46752265861028</v>
      </c>
      <c r="AE51" s="22">
        <f>'[204]Arc Results'!$I$114</f>
        <v>216.95468277945619</v>
      </c>
      <c r="AF51" s="22">
        <f>'[204]Arc Results'!$I$125</f>
        <v>236.92447129909365</v>
      </c>
      <c r="AG51" s="22">
        <f>'[204]Arc Results'!$I$147</f>
        <v>2745</v>
      </c>
      <c r="AH51" s="22">
        <f>'[204]Arc Results'!$I$158</f>
        <v>2745</v>
      </c>
      <c r="AI51" s="22">
        <f>'[204]Arc Results'!$I$213</f>
        <v>4331.8126888217521</v>
      </c>
      <c r="AJ51" s="22">
        <f>'[204]Arc Results'!$I$224</f>
        <v>4590.3892425821805</v>
      </c>
      <c r="AK51" s="22">
        <f>'[204]Arc Results'!$I$180</f>
        <v>3063</v>
      </c>
      <c r="AL51" s="22">
        <f>'[204]Arc Results'!$I$191</f>
        <v>3066.9999999999991</v>
      </c>
      <c r="AM51" s="22">
        <f>'[204]Arc Results'!$I$81</f>
        <v>2768.7960725075527</v>
      </c>
      <c r="AN51" s="22">
        <f>'[204]Arc Results'!$I$81</f>
        <v>2768.7960725075527</v>
      </c>
      <c r="AP51" s="9">
        <f t="shared" si="10"/>
        <v>1.25</v>
      </c>
      <c r="AQ51" s="9">
        <f t="shared" si="11"/>
        <v>1.1735150414854274</v>
      </c>
      <c r="AR51" s="9">
        <f t="shared" si="12"/>
        <v>1.0439980297402718</v>
      </c>
      <c r="AS51" s="9">
        <f t="shared" si="13"/>
        <v>1</v>
      </c>
      <c r="AT51" s="9">
        <f t="shared" si="14"/>
        <v>1.0289812487711474</v>
      </c>
      <c r="AU51" s="9">
        <f t="shared" si="15"/>
        <v>1.0006525285481238</v>
      </c>
      <c r="AV51" s="9">
        <f t="shared" si="16"/>
        <v>1</v>
      </c>
    </row>
    <row r="52" spans="1:48" ht="15.75">
      <c r="A52">
        <f t="shared" si="17"/>
        <v>48</v>
      </c>
      <c r="B52" s="9">
        <v>2020</v>
      </c>
      <c r="C52" s="9" t="s">
        <v>89</v>
      </c>
      <c r="D52" s="9" t="s">
        <v>88</v>
      </c>
      <c r="E52" s="7" t="s">
        <v>6</v>
      </c>
      <c r="F52" s="20" t="s">
        <v>83</v>
      </c>
      <c r="G52" s="7" t="s">
        <v>8</v>
      </c>
      <c r="H52" s="7" t="s">
        <v>9</v>
      </c>
      <c r="I52" s="9" t="s">
        <v>45</v>
      </c>
      <c r="J52" s="9">
        <v>500</v>
      </c>
      <c r="K52" s="9">
        <v>0.8</v>
      </c>
      <c r="L52" s="21">
        <f>'[205]Arc Results'!$I$10960+'[205]Arc Results'!$I$10971+'[205]Arc Results'!$I$10982+'[205]Arc Results'!$I$10993+'[205]Arc Results'!$I$11004+'[205]Arc Results'!$I$11015+'[205]Arc Results'!$I$11026+'[205]Arc Results'!$I$11037+'[205]Arc Results'!$I$11048+'[205]Arc Results'!$I$11059+'[205]Arc Results'!$I$11070+'[205]Arc Results'!$I$11081+'[205]Arc Results'!$I$11092+'[205]Arc Results'!$I$11103+'[205]Arc Results'!$I$11114+'[205]Arc Results'!$I$11125+'[205]Arc Results'!$I$11136+'[205]Arc Results'!$I$11147+'[205]Arc Results'!$I$11158+'[205]Arc Results'!$I$11169+'[205]Arc Results'!$I$11180+'[205]Arc Results'!$I$11191+'[205]Arc Results'!$I$11202+'[205]Arc Results'!$I$11213+'[205]Arc Results'!$I$11224+'[205]Arc Results'!$I$11235+'[205]Arc Results'!$I$11246+'[205]Arc Results'!$I$11257+'[205]Arc Results'!$I$11268</f>
        <v>3289.3548508983381</v>
      </c>
      <c r="M52" s="21">
        <f>'[205]Arc Results'!$I$257</f>
        <v>14223.844769725063</v>
      </c>
      <c r="N52" s="21">
        <f t="shared" si="1"/>
        <v>5619.9811178247728</v>
      </c>
      <c r="O52" s="21">
        <f t="shared" si="2"/>
        <v>8000</v>
      </c>
      <c r="P52" s="22">
        <f t="shared" si="3"/>
        <v>5992.388217522659</v>
      </c>
      <c r="Q52" s="22">
        <f t="shared" si="4"/>
        <v>1582.8680945459312</v>
      </c>
      <c r="R52" s="22">
        <f t="shared" si="5"/>
        <v>478.84138972809666</v>
      </c>
      <c r="S52" s="22">
        <f t="shared" si="6"/>
        <v>379.71299093655591</v>
      </c>
      <c r="T52" s="22">
        <f t="shared" si="7"/>
        <v>6130</v>
      </c>
      <c r="U52" s="21" t="str">
        <f>[205]Log!$K$2</f>
        <v>364.405.526,11</v>
      </c>
      <c r="V52" s="21" t="str">
        <f>[205]Log!$J$2</f>
        <v>88.973.415,72</v>
      </c>
      <c r="W52" s="21" t="str">
        <f>[205]Log!$N$2</f>
        <v>35.380.701,91</v>
      </c>
      <c r="X52" s="23">
        <f t="shared" si="8"/>
        <v>0</v>
      </c>
      <c r="Y52" s="22"/>
      <c r="Z52" s="24">
        <f t="shared" si="9"/>
        <v>42407.636580283084</v>
      </c>
      <c r="AA52" s="22">
        <f>'[205]Arc Results'!$I$15</f>
        <v>144.65256797583081</v>
      </c>
      <c r="AB52" s="22">
        <f>'[205]Arc Results'!$I$26</f>
        <v>235.06042296072508</v>
      </c>
      <c r="AC52" s="22">
        <f>'[205]Arc Results'!$I$48</f>
        <v>689.95193140393724</v>
      </c>
      <c r="AD52" s="22">
        <f>'[205]Arc Results'!$I$59</f>
        <v>892.91616314199393</v>
      </c>
      <c r="AE52" s="22">
        <f>'[205]Arc Results'!$I$114</f>
        <v>226.93957703927492</v>
      </c>
      <c r="AF52" s="22">
        <f>'[205]Arc Results'!$I$125</f>
        <v>251.90181268882174</v>
      </c>
      <c r="AG52" s="22">
        <f>'[205]Arc Results'!$I$147</f>
        <v>2794.5166163141994</v>
      </c>
      <c r="AH52" s="22">
        <f>'[205]Arc Results'!$I$158</f>
        <v>2825.4645015105739</v>
      </c>
      <c r="AI52" s="22">
        <f>'[205]Arc Results'!$I$213</f>
        <v>4000</v>
      </c>
      <c r="AJ52" s="22">
        <f>'[205]Arc Results'!$I$224</f>
        <v>4000</v>
      </c>
      <c r="AK52" s="22">
        <f>'[205]Arc Results'!$I$180</f>
        <v>3063</v>
      </c>
      <c r="AL52" s="22">
        <f>'[205]Arc Results'!$I$191</f>
        <v>3067.0000000000005</v>
      </c>
      <c r="AM52" s="22">
        <f>'[205]Arc Results'!$I$81</f>
        <v>2996.1941087613295</v>
      </c>
      <c r="AN52" s="22">
        <f>'[205]Arc Results'!$I$81</f>
        <v>2996.1941087613295</v>
      </c>
      <c r="AP52" s="9">
        <f t="shared" si="10"/>
        <v>1.2380952380952381</v>
      </c>
      <c r="AQ52" s="9">
        <f t="shared" si="11"/>
        <v>1.1282256130105901</v>
      </c>
      <c r="AR52" s="9">
        <f t="shared" si="12"/>
        <v>1.05213048868587</v>
      </c>
      <c r="AS52" s="9">
        <f t="shared" si="13"/>
        <v>1.0055067596398533</v>
      </c>
      <c r="AT52" s="9">
        <f t="shared" si="14"/>
        <v>1</v>
      </c>
      <c r="AU52" s="9">
        <f t="shared" si="15"/>
        <v>1.000652528548124</v>
      </c>
      <c r="AV52" s="9">
        <f t="shared" si="16"/>
        <v>1</v>
      </c>
    </row>
    <row r="53" spans="1:48" ht="15.75">
      <c r="A53">
        <f t="shared" si="17"/>
        <v>49</v>
      </c>
      <c r="B53" s="9">
        <v>2020</v>
      </c>
      <c r="C53" s="9" t="s">
        <v>89</v>
      </c>
      <c r="D53" s="9" t="s">
        <v>88</v>
      </c>
      <c r="E53" s="7" t="s">
        <v>6</v>
      </c>
      <c r="F53" s="20" t="s">
        <v>84</v>
      </c>
      <c r="G53" s="7" t="s">
        <v>8</v>
      </c>
      <c r="H53" s="7" t="s">
        <v>9</v>
      </c>
      <c r="I53" s="9" t="s">
        <v>45</v>
      </c>
      <c r="J53" s="9">
        <v>500</v>
      </c>
      <c r="K53" s="9">
        <v>0.8</v>
      </c>
      <c r="L53" s="21">
        <f>'[206]Arc Results'!$I$10960+'[206]Arc Results'!$I$10971+'[206]Arc Results'!$I$10982+'[206]Arc Results'!$I$10993+'[206]Arc Results'!$I$11004+'[206]Arc Results'!$I$11015+'[206]Arc Results'!$I$11026+'[206]Arc Results'!$I$11037+'[206]Arc Results'!$I$11048+'[206]Arc Results'!$I$11059+'[206]Arc Results'!$I$11070+'[206]Arc Results'!$I$11081+'[206]Arc Results'!$I$11092+'[206]Arc Results'!$I$11103+'[206]Arc Results'!$I$11114+'[206]Arc Results'!$I$11125+'[206]Arc Results'!$I$11136+'[206]Arc Results'!$I$11147+'[206]Arc Results'!$I$11158+'[206]Arc Results'!$I$11169+'[206]Arc Results'!$I$11180+'[206]Arc Results'!$I$11191+'[206]Arc Results'!$I$11202+'[206]Arc Results'!$I$11213+'[206]Arc Results'!$I$11224+'[206]Arc Results'!$I$11235+'[206]Arc Results'!$I$11246+'[206]Arc Results'!$I$11257+'[206]Arc Results'!$I$11268</f>
        <v>3425.7464672125252</v>
      </c>
      <c r="M53" s="21">
        <f>'[206]Arc Results'!$I$257</f>
        <v>14223.844769725056</v>
      </c>
      <c r="N53" s="21">
        <f t="shared" si="1"/>
        <v>5657.1185800604235</v>
      </c>
      <c r="O53" s="21">
        <f t="shared" si="2"/>
        <v>9493.1570996978844</v>
      </c>
      <c r="P53" s="22">
        <f t="shared" si="3"/>
        <v>4628</v>
      </c>
      <c r="Q53" s="22">
        <f t="shared" si="4"/>
        <v>1847.0127320081556</v>
      </c>
      <c r="R53" s="22">
        <f t="shared" si="5"/>
        <v>508.79607250755282</v>
      </c>
      <c r="S53" s="22">
        <f t="shared" si="6"/>
        <v>488.20241691842898</v>
      </c>
      <c r="T53" s="22">
        <f t="shared" si="7"/>
        <v>6130</v>
      </c>
      <c r="U53" s="21" t="str">
        <f>[206]Log!$K$2</f>
        <v>354.737.724,04</v>
      </c>
      <c r="V53" s="21" t="str">
        <f>[206]Log!$J$2</f>
        <v>88.973.415,72</v>
      </c>
      <c r="W53" s="21" t="str">
        <f>[206]Log!$N$2</f>
        <v>35.380.701,91</v>
      </c>
      <c r="X53" s="23">
        <f t="shared" si="8"/>
        <v>0</v>
      </c>
      <c r="Y53" s="22"/>
      <c r="Z53" s="24">
        <f t="shared" si="9"/>
        <v>42976.131670917501</v>
      </c>
      <c r="AA53" s="22">
        <f>'[206]Arc Results'!$I$15</f>
        <v>198.89728096676737</v>
      </c>
      <c r="AB53" s="22">
        <f>'[206]Arc Results'!$I$26</f>
        <v>289.30513595166161</v>
      </c>
      <c r="AC53" s="22">
        <f>'[206]Arc Results'!$I$48</f>
        <v>812.42360814108611</v>
      </c>
      <c r="AD53" s="22">
        <f>'[206]Arc Results'!$I$59</f>
        <v>1034.5891238670695</v>
      </c>
      <c r="AE53" s="22">
        <f>'[206]Arc Results'!$I$114</f>
        <v>241.916918429003</v>
      </c>
      <c r="AF53" s="22">
        <f>'[206]Arc Results'!$I$125</f>
        <v>266.87915407854985</v>
      </c>
      <c r="AG53" s="22">
        <f>'[206]Arc Results'!$I$147</f>
        <v>2813.0853474320243</v>
      </c>
      <c r="AH53" s="22">
        <f>'[206]Arc Results'!$I$158</f>
        <v>2844.0332326283988</v>
      </c>
      <c r="AI53" s="22">
        <f>'[206]Arc Results'!$I$213</f>
        <v>4608.3232628398791</v>
      </c>
      <c r="AJ53" s="22">
        <f>'[206]Arc Results'!$I$224</f>
        <v>4884.8338368580062</v>
      </c>
      <c r="AK53" s="22">
        <f>'[206]Arc Results'!$I$180</f>
        <v>3063</v>
      </c>
      <c r="AL53" s="22">
        <f>'[206]Arc Results'!$I$191</f>
        <v>3067</v>
      </c>
      <c r="AM53" s="22">
        <f>'[206]Arc Results'!$I$81</f>
        <v>2314</v>
      </c>
      <c r="AN53" s="22">
        <f>'[206]Arc Results'!$I$81</f>
        <v>2314</v>
      </c>
      <c r="AP53" s="9">
        <f t="shared" si="10"/>
        <v>1.1851851851851851</v>
      </c>
      <c r="AQ53" s="9">
        <f t="shared" si="11"/>
        <v>1.1202836947877641</v>
      </c>
      <c r="AR53" s="9">
        <f t="shared" si="12"/>
        <v>1.0490613764499457</v>
      </c>
      <c r="AS53" s="9">
        <f t="shared" si="13"/>
        <v>1.0054706092436272</v>
      </c>
      <c r="AT53" s="9">
        <f t="shared" si="14"/>
        <v>1.0291273568017669</v>
      </c>
      <c r="AU53" s="9">
        <f t="shared" si="15"/>
        <v>1.000652528548124</v>
      </c>
      <c r="AV53" s="9">
        <f t="shared" si="16"/>
        <v>1</v>
      </c>
    </row>
    <row r="54" spans="1:48" ht="15.75">
      <c r="A54">
        <f t="shared" si="17"/>
        <v>50</v>
      </c>
      <c r="B54" s="9">
        <v>2020</v>
      </c>
      <c r="C54" s="9" t="s">
        <v>89</v>
      </c>
      <c r="D54" s="9" t="s">
        <v>88</v>
      </c>
      <c r="E54" s="7" t="s">
        <v>6</v>
      </c>
      <c r="F54" s="20" t="s">
        <v>85</v>
      </c>
      <c r="G54" s="7" t="s">
        <v>8</v>
      </c>
      <c r="H54" s="7" t="s">
        <v>9</v>
      </c>
      <c r="I54" s="9" t="s">
        <v>45</v>
      </c>
      <c r="J54" s="9">
        <v>500</v>
      </c>
      <c r="K54" s="9">
        <v>0.8</v>
      </c>
      <c r="L54" s="21">
        <f>'[207]Arc Results'!$I$10960+'[207]Arc Results'!$I$10971+'[207]Arc Results'!$I$10982+'[207]Arc Results'!$I$10993+'[207]Arc Results'!$I$11004+'[207]Arc Results'!$I$11015+'[207]Arc Results'!$I$11026+'[207]Arc Results'!$I$11037+'[207]Arc Results'!$I$11048+'[207]Arc Results'!$I$11059+'[207]Arc Results'!$I$11070+'[207]Arc Results'!$I$11081+'[207]Arc Results'!$I$11092+'[207]Arc Results'!$I$11103+'[207]Arc Results'!$I$11114+'[207]Arc Results'!$I$11125+'[207]Arc Results'!$I$11136+'[207]Arc Results'!$I$11147+'[207]Arc Results'!$I$11158+'[207]Arc Results'!$I$11169+'[207]Arc Results'!$I$11180+'[207]Arc Results'!$I$11191+'[207]Arc Results'!$I$11202+'[207]Arc Results'!$I$11213+'[207]Arc Results'!$I$11224+'[207]Arc Results'!$I$11235+'[207]Arc Results'!$I$11246+'[207]Arc Results'!$I$11257+'[207]Arc Results'!$I$11268</f>
        <v>3260.3027360947094</v>
      </c>
      <c r="M54" s="21">
        <f>'[207]Arc Results'!$I$257</f>
        <v>14223.844769725041</v>
      </c>
      <c r="N54" s="21">
        <f t="shared" si="1"/>
        <v>5595.2228096676736</v>
      </c>
      <c r="O54" s="21">
        <f t="shared" si="2"/>
        <v>8940.3684721894315</v>
      </c>
      <c r="P54" s="22">
        <f t="shared" si="3"/>
        <v>5764.9901812688822</v>
      </c>
      <c r="Q54" s="22">
        <f t="shared" si="4"/>
        <v>1408.037764350453</v>
      </c>
      <c r="R54" s="22">
        <f t="shared" si="5"/>
        <v>458.8716012084592</v>
      </c>
      <c r="S54" s="22">
        <f t="shared" si="6"/>
        <v>0</v>
      </c>
      <c r="T54" s="22">
        <f t="shared" si="7"/>
        <v>6130</v>
      </c>
      <c r="U54" s="21" t="str">
        <f>[207]Log!$K$2</f>
        <v>340.131.074,39</v>
      </c>
      <c r="V54" s="21" t="str">
        <f>[207]Log!$J$2</f>
        <v>88.973.415,72</v>
      </c>
      <c r="W54" s="21" t="str">
        <f>[207]Log!$N$2</f>
        <v>35.380.701,91</v>
      </c>
      <c r="X54" s="23">
        <f t="shared" si="8"/>
        <v>0</v>
      </c>
      <c r="Y54" s="22"/>
      <c r="Z54" s="24">
        <f t="shared" si="9"/>
        <v>42521.335598409947</v>
      </c>
      <c r="AA54" s="22">
        <f>'[207]Arc Results'!$I$15</f>
        <v>0</v>
      </c>
      <c r="AB54" s="22">
        <f>'[207]Arc Results'!$I$26</f>
        <v>0</v>
      </c>
      <c r="AC54" s="22">
        <f>'[207]Arc Results'!$I$48</f>
        <v>609.57024169184285</v>
      </c>
      <c r="AD54" s="22">
        <f>'[207]Arc Results'!$I$59</f>
        <v>798.46752265861028</v>
      </c>
      <c r="AE54" s="22">
        <f>'[207]Arc Results'!$I$114</f>
        <v>216.95468277945619</v>
      </c>
      <c r="AF54" s="22">
        <f>'[207]Arc Results'!$I$125</f>
        <v>241.916918429003</v>
      </c>
      <c r="AG54" s="22">
        <f>'[207]Arc Results'!$I$147</f>
        <v>2782.1374622356498</v>
      </c>
      <c r="AH54" s="22">
        <f>'[207]Arc Results'!$I$158</f>
        <v>2813.0853474320243</v>
      </c>
      <c r="AI54" s="22">
        <f>'[207]Arc Results'!$I$213</f>
        <v>4332.0452093495533</v>
      </c>
      <c r="AJ54" s="22">
        <f>'[207]Arc Results'!$I$224</f>
        <v>4608.3232628398791</v>
      </c>
      <c r="AK54" s="22">
        <f>'[207]Arc Results'!$I$180</f>
        <v>3063</v>
      </c>
      <c r="AL54" s="22">
        <f>'[207]Arc Results'!$I$191</f>
        <v>3067.0000000000005</v>
      </c>
      <c r="AM54" s="22">
        <f>'[207]Arc Results'!$I$81</f>
        <v>2882.4950906344411</v>
      </c>
      <c r="AN54" s="22">
        <f>'[207]Arc Results'!$I$81</f>
        <v>2882.4950906344411</v>
      </c>
      <c r="AP54" s="9" t="e">
        <f t="shared" si="10"/>
        <v>#DIV/0!</v>
      </c>
      <c r="AQ54" s="9">
        <f t="shared" si="11"/>
        <v>1.134156402441314</v>
      </c>
      <c r="AR54" s="9">
        <f t="shared" si="12"/>
        <v>1.0543991730667308</v>
      </c>
      <c r="AS54" s="9">
        <f t="shared" si="13"/>
        <v>1.0055311265072235</v>
      </c>
      <c r="AT54" s="9">
        <f t="shared" si="14"/>
        <v>1.0309023117279492</v>
      </c>
      <c r="AU54" s="9">
        <f t="shared" si="15"/>
        <v>1.000652528548124</v>
      </c>
      <c r="AV54" s="9">
        <f t="shared" si="16"/>
        <v>1</v>
      </c>
    </row>
    <row r="55" spans="1:48" ht="15.75">
      <c r="A55">
        <f t="shared" si="17"/>
        <v>51</v>
      </c>
      <c r="B55" s="9">
        <v>2020</v>
      </c>
      <c r="C55" s="9" t="s">
        <v>89</v>
      </c>
      <c r="D55" s="9" t="s">
        <v>88</v>
      </c>
      <c r="E55" s="7" t="s">
        <v>6</v>
      </c>
      <c r="F55" s="20" t="s">
        <v>86</v>
      </c>
      <c r="G55" s="7" t="s">
        <v>8</v>
      </c>
      <c r="H55" s="7" t="s">
        <v>9</v>
      </c>
      <c r="I55" s="9" t="s">
        <v>45</v>
      </c>
      <c r="J55" s="9">
        <v>500</v>
      </c>
      <c r="K55" s="9">
        <v>0.8</v>
      </c>
      <c r="L55" s="21">
        <f>'[208]Arc Results'!$I$10960+'[208]Arc Results'!$I$10971+'[208]Arc Results'!$I$10982+'[208]Arc Results'!$I$10993+'[208]Arc Results'!$I$11004+'[208]Arc Results'!$I$11015+'[208]Arc Results'!$I$11026+'[208]Arc Results'!$I$11037+'[208]Arc Results'!$I$11048+'[208]Arc Results'!$I$11059+'[208]Arc Results'!$I$11070+'[208]Arc Results'!$I$11081+'[208]Arc Results'!$I$11092+'[208]Arc Results'!$I$11103+'[208]Arc Results'!$I$11114+'[208]Arc Results'!$I$11125+'[208]Arc Results'!$I$11136+'[208]Arc Results'!$I$11147+'[208]Arc Results'!$I$11158+'[208]Arc Results'!$I$11169+'[208]Arc Results'!$I$11180+'[208]Arc Results'!$I$11191+'[208]Arc Results'!$I$11202+'[208]Arc Results'!$I$11213+'[208]Arc Results'!$I$11224+'[208]Arc Results'!$I$11235+'[208]Arc Results'!$I$11246+'[208]Arc Results'!$I$11257+'[208]Arc Results'!$I$11268</f>
        <v>3320.8198379234041</v>
      </c>
      <c r="M55" s="21">
        <f>'[208]Arc Results'!$I$257</f>
        <v>14223.844769725036</v>
      </c>
      <c r="N55" s="21">
        <f t="shared" si="1"/>
        <v>5613.791540785498</v>
      </c>
      <c r="O55" s="21">
        <f t="shared" si="2"/>
        <v>9106.0422960725082</v>
      </c>
      <c r="P55" s="22">
        <f t="shared" si="3"/>
        <v>5992.388217522659</v>
      </c>
      <c r="Q55" s="22">
        <f t="shared" si="4"/>
        <v>558</v>
      </c>
      <c r="R55" s="22">
        <f t="shared" si="5"/>
        <v>473.84894259818731</v>
      </c>
      <c r="S55" s="22">
        <f t="shared" si="6"/>
        <v>361.63141993957703</v>
      </c>
      <c r="T55" s="22">
        <f t="shared" si="7"/>
        <v>6129.9999999999991</v>
      </c>
      <c r="U55" s="21" t="str">
        <f>[208]Log!$K$2</f>
        <v>342.104.967,73</v>
      </c>
      <c r="V55" s="21" t="str">
        <f>[208]Log!$J$2</f>
        <v>88.973.415,72</v>
      </c>
      <c r="W55" s="21" t="str">
        <f>[208]Log!$N$2</f>
        <v>35.380.701,91</v>
      </c>
      <c r="X55" s="23">
        <f t="shared" si="8"/>
        <v>0</v>
      </c>
      <c r="Y55" s="22"/>
      <c r="Z55" s="24">
        <f t="shared" si="9"/>
        <v>42459.547186643467</v>
      </c>
      <c r="AA55" s="22">
        <f>'[208]Arc Results'!$I$15</f>
        <v>144.65256797583081</v>
      </c>
      <c r="AB55" s="22">
        <f>'[208]Arc Results'!$I$26</f>
        <v>216.97885196374622</v>
      </c>
      <c r="AC55" s="22">
        <f>'[208]Arc Results'!$I$48</f>
        <v>279</v>
      </c>
      <c r="AD55" s="22">
        <f>'[208]Arc Results'!$I$59</f>
        <v>279</v>
      </c>
      <c r="AE55" s="22">
        <f>'[208]Arc Results'!$I$114</f>
        <v>226.93957703927492</v>
      </c>
      <c r="AF55" s="22">
        <f>'[208]Arc Results'!$I$125</f>
        <v>246.90936555891238</v>
      </c>
      <c r="AG55" s="22">
        <f>'[208]Arc Results'!$I$147</f>
        <v>2794.5166163141994</v>
      </c>
      <c r="AH55" s="22">
        <f>'[208]Arc Results'!$I$158</f>
        <v>2819.2749244712991</v>
      </c>
      <c r="AI55" s="22">
        <f>'[208]Arc Results'!$I$213</f>
        <v>4442.4169184290031</v>
      </c>
      <c r="AJ55" s="22">
        <f>'[208]Arc Results'!$I$224</f>
        <v>4663.6253776435042</v>
      </c>
      <c r="AK55" s="22">
        <f>'[208]Arc Results'!$I$180</f>
        <v>3063</v>
      </c>
      <c r="AL55" s="22">
        <f>'[208]Arc Results'!$I$191</f>
        <v>3066.9999999999991</v>
      </c>
      <c r="AM55" s="22">
        <f>'[208]Arc Results'!$I$81</f>
        <v>2996.1941087613295</v>
      </c>
      <c r="AN55" s="22">
        <f>'[208]Arc Results'!$I$81</f>
        <v>2996.1941087613295</v>
      </c>
      <c r="AP55" s="9">
        <f t="shared" si="10"/>
        <v>1.2</v>
      </c>
      <c r="AQ55" s="9">
        <f t="shared" si="11"/>
        <v>1</v>
      </c>
      <c r="AR55" s="9">
        <f t="shared" si="12"/>
        <v>1.0421437861824487</v>
      </c>
      <c r="AS55" s="9">
        <f t="shared" si="13"/>
        <v>1.0044102649657054</v>
      </c>
      <c r="AT55" s="9">
        <f t="shared" si="14"/>
        <v>1.0242924919544805</v>
      </c>
      <c r="AU55" s="9">
        <f t="shared" si="15"/>
        <v>1.0006525285481238</v>
      </c>
      <c r="AV55" s="9">
        <f t="shared" si="16"/>
        <v>1</v>
      </c>
    </row>
    <row r="56" spans="1:48" ht="15.75">
      <c r="A56">
        <f t="shared" si="17"/>
        <v>52</v>
      </c>
      <c r="B56" s="9">
        <v>2020</v>
      </c>
      <c r="C56" s="9" t="s">
        <v>89</v>
      </c>
      <c r="D56" s="9" t="s">
        <v>88</v>
      </c>
      <c r="E56" s="7" t="s">
        <v>6</v>
      </c>
      <c r="F56" s="20" t="s">
        <v>87</v>
      </c>
      <c r="G56" s="7" t="s">
        <v>8</v>
      </c>
      <c r="H56" s="7" t="s">
        <v>9</v>
      </c>
      <c r="I56" s="9" t="s">
        <v>45</v>
      </c>
      <c r="J56" s="9">
        <v>500</v>
      </c>
      <c r="K56" s="9">
        <v>0.8</v>
      </c>
      <c r="L56" s="21">
        <f>'[209]Arc Results'!$I$10960+'[209]Arc Results'!$I$10971+'[209]Arc Results'!$I$10982+'[209]Arc Results'!$I$10993+'[209]Arc Results'!$I$11004+'[209]Arc Results'!$I$11015+'[209]Arc Results'!$I$11026+'[209]Arc Results'!$I$11037+'[209]Arc Results'!$I$11048+'[209]Arc Results'!$I$11059+'[209]Arc Results'!$I$11070+'[209]Arc Results'!$I$11081+'[209]Arc Results'!$I$11092+'[209]Arc Results'!$I$11103+'[209]Arc Results'!$I$11114+'[209]Arc Results'!$I$11125+'[209]Arc Results'!$I$11136+'[209]Arc Results'!$I$11147+'[209]Arc Results'!$I$11158+'[209]Arc Results'!$I$11169+'[209]Arc Results'!$I$11180+'[209]Arc Results'!$I$11191+'[209]Arc Results'!$I$11202+'[209]Arc Results'!$I$11213+'[209]Arc Results'!$I$11224+'[209]Arc Results'!$I$11235+'[209]Arc Results'!$I$11246+'[209]Arc Results'!$I$11257+'[209]Arc Results'!$I$11268</f>
        <v>3177.6816204007464</v>
      </c>
      <c r="M56" s="21">
        <f>'[209]Arc Results'!$I$257</f>
        <v>14223.844769725061</v>
      </c>
      <c r="N56" s="21">
        <f t="shared" si="1"/>
        <v>5589.0332326283988</v>
      </c>
      <c r="O56" s="21">
        <f t="shared" si="2"/>
        <v>8903.0478528540953</v>
      </c>
      <c r="P56" s="22">
        <f t="shared" si="3"/>
        <v>5537.5921450151054</v>
      </c>
      <c r="Q56" s="22">
        <f t="shared" si="4"/>
        <v>1360.8134441087614</v>
      </c>
      <c r="R56" s="22">
        <f t="shared" si="5"/>
        <v>374</v>
      </c>
      <c r="S56" s="22">
        <f t="shared" si="6"/>
        <v>289.30513595166161</v>
      </c>
      <c r="T56" s="22">
        <f t="shared" si="7"/>
        <v>6130</v>
      </c>
      <c r="U56" s="21" t="str">
        <f>[209]Log!$K$2</f>
        <v>341.162.184,25</v>
      </c>
      <c r="V56" s="21" t="str">
        <f>[209]Log!$J$2</f>
        <v>88.973.415,72</v>
      </c>
      <c r="W56" s="21" t="str">
        <f>[209]Log!$N$2</f>
        <v>35.380.701,91</v>
      </c>
      <c r="X56" s="23">
        <f t="shared" si="8"/>
        <v>0</v>
      </c>
      <c r="Y56" s="22"/>
      <c r="Z56" s="24">
        <f t="shared" si="9"/>
        <v>42407.636580283084</v>
      </c>
      <c r="AA56" s="22">
        <f>'[209]Arc Results'!$I$15</f>
        <v>108.48942598187311</v>
      </c>
      <c r="AB56" s="22">
        <f>'[209]Arc Results'!$I$26</f>
        <v>180.81570996978851</v>
      </c>
      <c r="AC56" s="22">
        <f>'[209]Arc Results'!$I$48</f>
        <v>562.34592145015108</v>
      </c>
      <c r="AD56" s="22">
        <f>'[209]Arc Results'!$I$59</f>
        <v>798.46752265861028</v>
      </c>
      <c r="AE56" s="22">
        <f>'[209]Arc Results'!$I$114</f>
        <v>187</v>
      </c>
      <c r="AF56" s="22">
        <f>'[209]Arc Results'!$I$125</f>
        <v>187</v>
      </c>
      <c r="AG56" s="22">
        <f>'[209]Arc Results'!$I$147</f>
        <v>2782.1374622356498</v>
      </c>
      <c r="AH56" s="22">
        <f>'[209]Arc Results'!$I$158</f>
        <v>2806.8957703927495</v>
      </c>
      <c r="AI56" s="22">
        <f>'[209]Arc Results'!$I$213</f>
        <v>4331.8126888217521</v>
      </c>
      <c r="AJ56" s="22">
        <f>'[209]Arc Results'!$I$224</f>
        <v>4571.2351640323432</v>
      </c>
      <c r="AK56" s="22">
        <f>'[209]Arc Results'!$I$180</f>
        <v>3063</v>
      </c>
      <c r="AL56" s="22">
        <f>'[209]Arc Results'!$I$191</f>
        <v>3067</v>
      </c>
      <c r="AM56" s="22">
        <f>'[209]Arc Results'!$I$81</f>
        <v>2768.7960725075527</v>
      </c>
      <c r="AN56" s="22">
        <f>'[209]Arc Results'!$I$81</f>
        <v>2768.7960725075527</v>
      </c>
      <c r="AP56" s="9">
        <f t="shared" si="10"/>
        <v>1.25</v>
      </c>
      <c r="AQ56" s="9">
        <f t="shared" si="11"/>
        <v>1.1735150414854274</v>
      </c>
      <c r="AR56" s="9">
        <f t="shared" si="12"/>
        <v>1</v>
      </c>
      <c r="AS56" s="9">
        <f t="shared" si="13"/>
        <v>1.0044298015643498</v>
      </c>
      <c r="AT56" s="9">
        <f t="shared" si="14"/>
        <v>1.0268921923331951</v>
      </c>
      <c r="AU56" s="9">
        <f t="shared" si="15"/>
        <v>1.000652528548124</v>
      </c>
      <c r="AV56" s="9">
        <f t="shared" si="16"/>
        <v>1</v>
      </c>
    </row>
    <row r="59" spans="1:48" ht="15.75">
      <c r="A59" s="5"/>
      <c r="B59" s="9"/>
      <c r="C59" s="9"/>
      <c r="D59" s="9"/>
      <c r="E59" s="7"/>
      <c r="F59" s="7"/>
      <c r="G59" s="7"/>
      <c r="H59" s="7"/>
      <c r="I59" s="9"/>
      <c r="J59" s="9"/>
      <c r="K59" s="9"/>
      <c r="L59" s="21"/>
      <c r="M59" s="21"/>
      <c r="N59" s="21"/>
      <c r="O59" s="21"/>
      <c r="P59" s="22"/>
      <c r="Q59" s="22"/>
      <c r="R59" s="22"/>
      <c r="S59" s="22"/>
      <c r="T59" s="22"/>
      <c r="U59" s="21"/>
      <c r="V59" s="21"/>
      <c r="W59" s="21"/>
      <c r="X59" s="23"/>
      <c r="Y59" s="22"/>
      <c r="Z59" s="24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P59" s="9" t="e">
        <f t="shared" ref="AP59" si="18">2*AB59/SUM(AA59:AB59)</f>
        <v>#DIV/0!</v>
      </c>
      <c r="AQ59" s="9" t="e">
        <f t="shared" ref="AQ59" si="19">2*AD59/SUM(AC59:AD59)</f>
        <v>#DIV/0!</v>
      </c>
      <c r="AR59" s="9" t="e">
        <f t="shared" ref="AR59" si="20">2*AF59/SUM(AE59:AF59)</f>
        <v>#DIV/0!</v>
      </c>
      <c r="AS59" s="9" t="e">
        <f t="shared" ref="AS59" si="21">2*AH59/SUM(AG59:AH59)</f>
        <v>#DIV/0!</v>
      </c>
      <c r="AT59" s="9" t="e">
        <f t="shared" ref="AT59" si="22">2*AJ59/SUM(AI59:AJ59)</f>
        <v>#DIV/0!</v>
      </c>
      <c r="AU59" s="9" t="e">
        <f t="shared" ref="AU59" si="23">2*AL59/SUM(AK59:AL59)</f>
        <v>#DIV/0!</v>
      </c>
      <c r="AV59" s="9" t="e">
        <f t="shared" ref="AV59" si="24">2*AN59/SUM(AM59:AN59)</f>
        <v>#DIV/0!</v>
      </c>
    </row>
    <row r="60" spans="1:48"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83" spans="117:117">
      <c r="DM83" s="5"/>
    </row>
    <row r="84" spans="117:117">
      <c r="DM84" s="5"/>
    </row>
  </sheetData>
  <mergeCells count="4">
    <mergeCell ref="C2:D2"/>
    <mergeCell ref="F2:I2"/>
    <mergeCell ref="N2:T2"/>
    <mergeCell ref="U2:W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M84"/>
  <sheetViews>
    <sheetView topLeftCell="F24" zoomScale="70" zoomScaleNormal="70" workbookViewId="0">
      <selection activeCell="L34" sqref="L34:L35"/>
    </sheetView>
  </sheetViews>
  <sheetFormatPr defaultRowHeight="15"/>
  <cols>
    <col min="1" max="1" width="3.44140625" bestFit="1" customWidth="1"/>
    <col min="2" max="2" width="5" bestFit="1" customWidth="1"/>
    <col min="3" max="3" width="9.21875" customWidth="1"/>
    <col min="4" max="4" width="6.5546875" customWidth="1"/>
    <col min="5" max="5" width="12.5546875" bestFit="1" customWidth="1"/>
    <col min="6" max="6" width="14.6640625" customWidth="1"/>
    <col min="7" max="7" width="6.109375" customWidth="1"/>
    <col min="8" max="8" width="10.77734375" customWidth="1"/>
    <col min="9" max="9" width="8.77734375" hidden="1" customWidth="1"/>
    <col min="10" max="11" width="6.109375" hidden="1" customWidth="1"/>
    <col min="12" max="12" width="8.44140625" bestFit="1" customWidth="1"/>
    <col min="13" max="13" width="8.6640625" customWidth="1"/>
    <col min="14" max="16" width="7" customWidth="1"/>
    <col min="17" max="19" width="5.5546875" customWidth="1"/>
    <col min="20" max="20" width="7.109375" customWidth="1"/>
    <col min="21" max="23" width="7.77734375" customWidth="1"/>
    <col min="24" max="24" width="8.44140625" customWidth="1"/>
    <col min="25" max="25" width="5.109375" hidden="1" customWidth="1"/>
    <col min="26" max="26" width="10" customWidth="1"/>
    <col min="27" max="41" width="8.88671875" customWidth="1"/>
  </cols>
  <sheetData>
    <row r="1" spans="1:48">
      <c r="L1" s="22"/>
      <c r="M1" s="18"/>
      <c r="N1" s="27">
        <f>N4/SUM($N$4:$T$4)</f>
        <v>0.20080606922712185</v>
      </c>
      <c r="O1" s="27">
        <f t="shared" ref="O1:T1" si="0">O4/SUM($N$4:$T$4)</f>
        <v>0.28425794215267902</v>
      </c>
      <c r="P1" s="27">
        <f t="shared" si="0"/>
        <v>0.24270981507823614</v>
      </c>
      <c r="Q1" s="27">
        <f t="shared" si="0"/>
        <v>6.1996206733048835E-2</v>
      </c>
      <c r="R1" s="27">
        <f t="shared" si="0"/>
        <v>1.5232337600758653E-2</v>
      </c>
      <c r="S1" s="27">
        <f t="shared" si="0"/>
        <v>1.5647226173541962E-2</v>
      </c>
      <c r="T1" s="27">
        <f t="shared" si="0"/>
        <v>0.17935040303461355</v>
      </c>
    </row>
    <row r="2" spans="1:48" ht="15.75">
      <c r="C2" s="47" t="s">
        <v>28</v>
      </c>
      <c r="D2" s="47"/>
      <c r="F2" s="47" t="s">
        <v>23</v>
      </c>
      <c r="G2" s="47"/>
      <c r="H2" s="47"/>
      <c r="I2" s="47"/>
      <c r="J2" s="34"/>
      <c r="K2" s="34"/>
      <c r="L2" s="22"/>
      <c r="N2" s="47"/>
      <c r="O2" s="47"/>
      <c r="P2" s="47"/>
      <c r="Q2" s="47"/>
      <c r="R2" s="47"/>
      <c r="S2" s="47"/>
      <c r="T2" s="47"/>
      <c r="U2" s="47" t="s">
        <v>19</v>
      </c>
      <c r="V2" s="47"/>
      <c r="W2" s="47"/>
    </row>
    <row r="3" spans="1:48" s="1" customFormat="1" ht="15.75">
      <c r="A3" s="1" t="s">
        <v>10</v>
      </c>
      <c r="B3" s="1" t="s">
        <v>0</v>
      </c>
      <c r="C3" s="1" t="s">
        <v>29</v>
      </c>
      <c r="D3" s="1" t="s">
        <v>30</v>
      </c>
      <c r="E3" s="1" t="s">
        <v>1</v>
      </c>
      <c r="F3" s="1" t="s">
        <v>24</v>
      </c>
      <c r="G3" s="1" t="s">
        <v>25</v>
      </c>
      <c r="H3" s="1" t="s">
        <v>26</v>
      </c>
      <c r="I3" s="1" t="s">
        <v>27</v>
      </c>
      <c r="J3" s="1" t="s">
        <v>14</v>
      </c>
      <c r="L3" s="1" t="s">
        <v>2</v>
      </c>
      <c r="M3" s="1" t="s">
        <v>3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20</v>
      </c>
      <c r="V3" s="1" t="s">
        <v>21</v>
      </c>
      <c r="W3" s="1" t="s">
        <v>22</v>
      </c>
      <c r="X3" s="1" t="s">
        <v>46</v>
      </c>
      <c r="AP3" s="1" t="s">
        <v>61</v>
      </c>
    </row>
    <row r="4" spans="1:48" s="1" customFormat="1" ht="15.75">
      <c r="K4" s="1" t="s">
        <v>64</v>
      </c>
      <c r="L4" s="1">
        <v>5082</v>
      </c>
      <c r="M4" s="1">
        <v>16515</v>
      </c>
      <c r="N4" s="1">
        <v>6776</v>
      </c>
      <c r="O4" s="1">
        <v>9592</v>
      </c>
      <c r="P4" s="1">
        <v>8190</v>
      </c>
      <c r="Q4" s="1">
        <v>2092</v>
      </c>
      <c r="R4" s="1">
        <v>514</v>
      </c>
      <c r="S4" s="1">
        <v>528</v>
      </c>
      <c r="T4" s="1">
        <v>6052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62</v>
      </c>
      <c r="AL4" s="1" t="s">
        <v>63</v>
      </c>
      <c r="AM4" s="1" t="s">
        <v>66</v>
      </c>
      <c r="AN4" s="1" t="s">
        <v>67</v>
      </c>
      <c r="AP4" s="1" t="s">
        <v>17</v>
      </c>
      <c r="AQ4" s="1" t="s">
        <v>15</v>
      </c>
      <c r="AR4" s="1" t="s">
        <v>16</v>
      </c>
      <c r="AS4" s="1" t="s">
        <v>12</v>
      </c>
      <c r="AT4" s="1" t="s">
        <v>13</v>
      </c>
      <c r="AU4" s="1" t="s">
        <v>18</v>
      </c>
      <c r="AV4" s="1" t="s">
        <v>14</v>
      </c>
    </row>
    <row r="5" spans="1:48" ht="15.75">
      <c r="A5" s="5">
        <v>1</v>
      </c>
      <c r="B5" s="9">
        <v>2020</v>
      </c>
      <c r="C5" s="9" t="s">
        <v>4</v>
      </c>
      <c r="D5" s="9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9" t="s">
        <v>45</v>
      </c>
      <c r="J5" s="9">
        <v>500</v>
      </c>
      <c r="K5" s="9">
        <v>0.8</v>
      </c>
      <c r="L5" s="21">
        <f>'[210]Arc Results'!$I$10960+'[210]Arc Results'!$I$10971+'[210]Arc Results'!$I$10982+'[210]Arc Results'!$I$10993+'[210]Arc Results'!$I$11004+'[210]Arc Results'!$I$11015+'[210]Arc Results'!$I$11026+'[210]Arc Results'!$I$11037+'[210]Arc Results'!$I$11048+'[210]Arc Results'!$I$11059+'[210]Arc Results'!$I$11070+'[210]Arc Results'!$I$11081+'[210]Arc Results'!$I$11092+'[210]Arc Results'!$I$11103+'[210]Arc Results'!$I$11114+'[210]Arc Results'!$I$11125+'[210]Arc Results'!$I$11136+'[210]Arc Results'!$I$11147+'[210]Arc Results'!$I$11158+'[210]Arc Results'!$I$11169+'[210]Arc Results'!$I$11180+'[210]Arc Results'!$I$11191+'[210]Arc Results'!$I$11202+'[210]Arc Results'!$I$11213+'[210]Arc Results'!$I$11224+'[210]Arc Results'!$I$11235+'[210]Arc Results'!$I$11246+'[210]Arc Results'!$I$11257+'[210]Arc Results'!$I$11268</f>
        <v>3971.5277508012914</v>
      </c>
      <c r="M5" s="21">
        <f>'[210]Arc Results'!$I$257</f>
        <v>6165.6637714285907</v>
      </c>
      <c r="N5" s="21">
        <f t="shared" ref="N5:N56" si="1">SUM(AG5:AH5)</f>
        <v>5703.5762548262555</v>
      </c>
      <c r="O5" s="21">
        <f t="shared" ref="O5:O56" si="2">SUM(AI5:AJ5)</f>
        <v>9908.2432432432433</v>
      </c>
      <c r="P5" s="22">
        <f t="shared" ref="P5:P56" si="3">SUM(AM5:AN5)</f>
        <v>7286.3966080118416</v>
      </c>
      <c r="Q5" s="22">
        <f t="shared" ref="Q5:Q56" si="4">SUM(AC5:AD5)</f>
        <v>2247.864864864865</v>
      </c>
      <c r="R5" s="22">
        <f t="shared" ref="R5:R56" si="5">SUM(AE5:AF5)</f>
        <v>546.26833976833973</v>
      </c>
      <c r="S5" s="22">
        <f t="shared" ref="S5:S56" si="6">SUM(AA5:AB5)</f>
        <v>518.18918918918916</v>
      </c>
      <c r="T5" s="22">
        <f t="shared" ref="T5:T56" si="7">SUM(AK5:AL5)</f>
        <v>6130</v>
      </c>
      <c r="U5" s="25" t="str">
        <f>[210]Log!$K$2</f>
        <v>328.278.398,61</v>
      </c>
      <c r="V5" s="25" t="str">
        <f>[210]Log!$J$2</f>
        <v>47.021.289,99</v>
      </c>
      <c r="W5" s="25" t="str">
        <f>[210]Log!$N$2</f>
        <v>71.928.700,54</v>
      </c>
      <c r="X5" s="23">
        <f t="shared" ref="X5:X56" si="8">SUM(U5:W5)</f>
        <v>0</v>
      </c>
      <c r="Y5" s="22"/>
      <c r="Z5" s="24">
        <f t="shared" ref="Z5:Z56" si="9">M5+N5+O5+P5+Q5+R5+S5+T5</f>
        <v>38506.202271332324</v>
      </c>
      <c r="AA5" s="22">
        <f>'[210]Arc Results'!$I$15</f>
        <v>254.18918918918914</v>
      </c>
      <c r="AB5" s="22">
        <f>'[210]Arc Results'!$I$26</f>
        <v>264</v>
      </c>
      <c r="AC5" s="22">
        <f>'[210]Arc Results'!$I$48</f>
        <v>1003.2277992277992</v>
      </c>
      <c r="AD5" s="22">
        <f>'[210]Arc Results'!$I$59</f>
        <v>1244.6370656370657</v>
      </c>
      <c r="AE5" s="22">
        <f>'[210]Arc Results'!$I$114</f>
        <v>257.18339768339769</v>
      </c>
      <c r="AF5" s="22">
        <f>'[210]Arc Results'!$I$125</f>
        <v>289.0849420849421</v>
      </c>
      <c r="AG5" s="22">
        <f>'[210]Arc Results'!$I$147</f>
        <v>2832.0125482625485</v>
      </c>
      <c r="AH5" s="22">
        <f>'[210]Arc Results'!$I$158</f>
        <v>2871.5637065637065</v>
      </c>
      <c r="AI5" s="22">
        <f>'[210]Arc Results'!$I$213</f>
        <v>4777.4324324324325</v>
      </c>
      <c r="AJ5" s="22">
        <f>'[210]Arc Results'!$I$224</f>
        <v>5130.8108108108108</v>
      </c>
      <c r="AK5" s="22">
        <f>'[210]Arc Results'!$I$180</f>
        <v>3063</v>
      </c>
      <c r="AL5" s="22">
        <f>'[210]Arc Results'!$I$191</f>
        <v>3067</v>
      </c>
      <c r="AM5" s="22">
        <f>'[210]Arc Results'!$I$81</f>
        <v>3643.1983040059208</v>
      </c>
      <c r="AN5" s="22">
        <f>'[210]Arc Results'!$I$81</f>
        <v>3643.1983040059208</v>
      </c>
      <c r="AP5" s="9">
        <f t="shared" ref="AP5:AP56" si="10">2*AB5/SUM(AA5:AB5)</f>
        <v>1.0189328743545611</v>
      </c>
      <c r="AQ5" s="9">
        <f t="shared" ref="AQ5:AQ56" si="11">2*AD5/SUM(AC5:AD5)</f>
        <v>1.1073949195890738</v>
      </c>
      <c r="AR5" s="9">
        <f t="shared" ref="AR5:AR56" si="12">2*AF5/SUM(AE5:AF5)</f>
        <v>1.0583990359299849</v>
      </c>
      <c r="AS5" s="9">
        <f t="shared" ref="AS5:AS56" si="13">2*AH5/SUM(AG5:AH5)</f>
        <v>1.0069344489376626</v>
      </c>
      <c r="AT5" s="9">
        <f t="shared" ref="AT5:AT56" si="14">2*AJ5/SUM(AI5:AJ5)</f>
        <v>1.0356650891286261</v>
      </c>
      <c r="AU5" s="9">
        <f t="shared" ref="AU5:AU56" si="15">2*AL5/SUM(AK5:AL5)</f>
        <v>1.000652528548124</v>
      </c>
      <c r="AV5" s="9">
        <f t="shared" ref="AV5:AV56" si="16">2*AN5/SUM(AM5:AN5)</f>
        <v>1</v>
      </c>
    </row>
    <row r="6" spans="1:48" ht="15.75">
      <c r="A6">
        <f>A5+1</f>
        <v>2</v>
      </c>
      <c r="B6" s="9">
        <v>2020</v>
      </c>
      <c r="C6" s="9" t="s">
        <v>4</v>
      </c>
      <c r="D6" s="9" t="s">
        <v>5</v>
      </c>
      <c r="E6" s="7" t="s">
        <v>6</v>
      </c>
      <c r="F6" s="7" t="s">
        <v>76</v>
      </c>
      <c r="G6" s="7" t="s">
        <v>8</v>
      </c>
      <c r="H6" s="7" t="s">
        <v>9</v>
      </c>
      <c r="I6" s="9" t="s">
        <v>45</v>
      </c>
      <c r="J6" s="9">
        <v>500</v>
      </c>
      <c r="K6" s="9">
        <v>0.8</v>
      </c>
      <c r="L6" s="28">
        <f>'[211]Arc Results'!$I$10960+'[211]Arc Results'!$I$10971+'[211]Arc Results'!$I$10982+'[211]Arc Results'!$I$10993+'[211]Arc Results'!$I$11004+'[211]Arc Results'!$I$11015+'[211]Arc Results'!$I$11026+'[211]Arc Results'!$I$11037+'[211]Arc Results'!$I$11048+'[211]Arc Results'!$I$11059+'[211]Arc Results'!$I$11070+'[211]Arc Results'!$I$11081+'[211]Arc Results'!$I$11092+'[211]Arc Results'!$I$11103+'[211]Arc Results'!$I$11114+'[211]Arc Results'!$I$11125+'[211]Arc Results'!$I$11136+'[211]Arc Results'!$I$11147+'[211]Arc Results'!$I$11158+'[211]Arc Results'!$I$11169+'[211]Arc Results'!$I$11180+'[211]Arc Results'!$I$11191+'[211]Arc Results'!$I$11202+'[211]Arc Results'!$I$11213+'[211]Arc Results'!$I$11224+'[211]Arc Results'!$I$11235+'[211]Arc Results'!$I$11246+'[211]Arc Results'!$I$11257+'[211]Arc Results'!$I$11268</f>
        <v>3865.4597006082417</v>
      </c>
      <c r="M6" s="28">
        <f>'[211]Arc Results'!$I$257</f>
        <v>6165.6637714285798</v>
      </c>
      <c r="N6" s="28">
        <f t="shared" si="1"/>
        <v>6124</v>
      </c>
      <c r="O6" s="28">
        <f t="shared" si="2"/>
        <v>9804.7591148167339</v>
      </c>
      <c r="P6" s="28">
        <f t="shared" si="3"/>
        <v>7243.516409266409</v>
      </c>
      <c r="Q6" s="28">
        <f t="shared" si="4"/>
        <v>2127.1602316602316</v>
      </c>
      <c r="R6" s="28">
        <f t="shared" si="5"/>
        <v>539.88803088803093</v>
      </c>
      <c r="S6" s="28">
        <f t="shared" si="6"/>
        <v>495.08108108108104</v>
      </c>
      <c r="T6" s="28">
        <f t="shared" si="7"/>
        <v>6130</v>
      </c>
      <c r="U6" s="28" t="str">
        <f>[211]Log!$K$2</f>
        <v>314.043.113,44</v>
      </c>
      <c r="V6" s="28" t="str">
        <f>[211]Log!$J$2</f>
        <v>47.021.289,99</v>
      </c>
      <c r="W6" s="28" t="str">
        <f>[211]Log!$N$2</f>
        <v>71.928.700,54</v>
      </c>
      <c r="X6" s="32">
        <f t="shared" si="8"/>
        <v>0</v>
      </c>
      <c r="Y6" s="28"/>
      <c r="Z6" s="33">
        <f t="shared" si="9"/>
        <v>38630.068639141071</v>
      </c>
      <c r="AA6" s="28">
        <f>'[211]Arc Results'!$I$15</f>
        <v>231.08108108108104</v>
      </c>
      <c r="AB6" s="28">
        <f>'[211]Arc Results'!$I$26</f>
        <v>264</v>
      </c>
      <c r="AC6" s="28">
        <f>'[211]Arc Results'!$I$48</f>
        <v>942.87548262548262</v>
      </c>
      <c r="AD6" s="28">
        <f>'[211]Arc Results'!$I$59</f>
        <v>1184.284749034749</v>
      </c>
      <c r="AE6" s="28">
        <f>'[211]Arc Results'!$I$114</f>
        <v>257.18339768339769</v>
      </c>
      <c r="AF6" s="28">
        <f>'[211]Arc Results'!$I$125</f>
        <v>282.70463320463318</v>
      </c>
      <c r="AG6" s="28">
        <f>'[211]Arc Results'!$I$147</f>
        <v>2863.6534749034749</v>
      </c>
      <c r="AH6" s="28">
        <f>'[211]Arc Results'!$I$158</f>
        <v>3260.3465250965251</v>
      </c>
      <c r="AI6" s="28">
        <f>'[211]Arc Results'!$I$213</f>
        <v>4744.6239796815989</v>
      </c>
      <c r="AJ6" s="28">
        <f>'[211]Arc Results'!$I$224</f>
        <v>5060.135135135135</v>
      </c>
      <c r="AK6" s="28">
        <f>'[211]Arc Results'!$I$180</f>
        <v>3063</v>
      </c>
      <c r="AL6" s="28">
        <f>'[211]Arc Results'!$I$191</f>
        <v>3067</v>
      </c>
      <c r="AM6" s="28">
        <f>'[211]Arc Results'!$I$81</f>
        <v>3621.7582046332045</v>
      </c>
      <c r="AN6" s="28">
        <f>'[211]Arc Results'!$I$81</f>
        <v>3621.7582046332045</v>
      </c>
      <c r="AP6" s="9">
        <f t="shared" si="10"/>
        <v>1.0664919751064528</v>
      </c>
      <c r="AQ6" s="9">
        <f t="shared" si="11"/>
        <v>1.1134889900705074</v>
      </c>
      <c r="AR6" s="9">
        <f t="shared" si="12"/>
        <v>1.047271348985561</v>
      </c>
      <c r="AS6" s="9">
        <f t="shared" si="13"/>
        <v>1.0647767880785517</v>
      </c>
      <c r="AT6" s="9">
        <f t="shared" si="14"/>
        <v>1.0321793887803672</v>
      </c>
      <c r="AU6" s="9">
        <f t="shared" si="15"/>
        <v>1.000652528548124</v>
      </c>
      <c r="AV6" s="9">
        <f t="shared" si="16"/>
        <v>1</v>
      </c>
    </row>
    <row r="7" spans="1:48" ht="15.75">
      <c r="A7">
        <f t="shared" ref="A7:A56" si="17">A6+1</f>
        <v>3</v>
      </c>
      <c r="B7" s="9">
        <v>2020</v>
      </c>
      <c r="C7" s="9" t="s">
        <v>4</v>
      </c>
      <c r="D7" s="9" t="s">
        <v>5</v>
      </c>
      <c r="E7" s="7" t="s">
        <v>6</v>
      </c>
      <c r="F7" s="7" t="s">
        <v>77</v>
      </c>
      <c r="G7" s="7" t="s">
        <v>8</v>
      </c>
      <c r="H7" s="7" t="s">
        <v>9</v>
      </c>
      <c r="I7" s="9" t="s">
        <v>45</v>
      </c>
      <c r="J7" s="9">
        <v>500</v>
      </c>
      <c r="K7" s="9">
        <v>0.8</v>
      </c>
      <c r="L7" s="28">
        <f>'[212]Arc Results'!$I$10960+'[212]Arc Results'!$I$10971+'[212]Arc Results'!$I$10982+'[212]Arc Results'!$I$10993+'[212]Arc Results'!$I$11004+'[212]Arc Results'!$I$11015+'[212]Arc Results'!$I$11026+'[212]Arc Results'!$I$11037+'[212]Arc Results'!$I$11048+'[212]Arc Results'!$I$11059+'[212]Arc Results'!$I$11070+'[212]Arc Results'!$I$11081+'[212]Arc Results'!$I$11092+'[212]Arc Results'!$I$11103+'[212]Arc Results'!$I$11114+'[212]Arc Results'!$I$11125+'[212]Arc Results'!$I$11136+'[212]Arc Results'!$I$11147+'[212]Arc Results'!$I$11158+'[212]Arc Results'!$I$11169+'[212]Arc Results'!$I$11180+'[212]Arc Results'!$I$11191+'[212]Arc Results'!$I$11202+'[212]Arc Results'!$I$11213+'[212]Arc Results'!$I$11224+'[212]Arc Results'!$I$11235+'[212]Arc Results'!$I$11246+'[212]Arc Results'!$I$11257+'[212]Arc Results'!$I$11268</f>
        <v>3499.4436050965096</v>
      </c>
      <c r="M7" s="28">
        <f>'[212]Arc Results'!$I$257</f>
        <v>6165.6637714286117</v>
      </c>
      <c r="N7" s="28">
        <f t="shared" si="1"/>
        <v>5648.2046332046339</v>
      </c>
      <c r="O7" s="28">
        <f t="shared" si="2"/>
        <v>11503.999999999982</v>
      </c>
      <c r="P7" s="28">
        <f t="shared" si="3"/>
        <v>6371.6776061776063</v>
      </c>
      <c r="Q7" s="28">
        <f t="shared" si="4"/>
        <v>1788.3885328185329</v>
      </c>
      <c r="R7" s="28">
        <f t="shared" si="5"/>
        <v>501.6061776061776</v>
      </c>
      <c r="S7" s="28">
        <f t="shared" si="6"/>
        <v>448.86486486486484</v>
      </c>
      <c r="T7" s="28">
        <f t="shared" si="7"/>
        <v>6130</v>
      </c>
      <c r="U7" s="28" t="str">
        <f>[212]Log!$K$2</f>
        <v>301.673.061,26</v>
      </c>
      <c r="V7" s="28" t="str">
        <f>[212]Log!$J$2</f>
        <v>47.021.289,99</v>
      </c>
      <c r="W7" s="28" t="str">
        <f>[212]Log!$N$2</f>
        <v>71.928.700,54</v>
      </c>
      <c r="X7" s="32">
        <f t="shared" si="8"/>
        <v>0</v>
      </c>
      <c r="Y7" s="28"/>
      <c r="Z7" s="33">
        <f t="shared" si="9"/>
        <v>38558.405586100402</v>
      </c>
      <c r="AA7" s="28">
        <f>'[212]Arc Results'!$I$15</f>
        <v>184.86486486486484</v>
      </c>
      <c r="AB7" s="28">
        <f>'[212]Arc Results'!$I$26</f>
        <v>264</v>
      </c>
      <c r="AC7" s="28">
        <f>'[212]Arc Results'!$I$48</f>
        <v>761.81853281853284</v>
      </c>
      <c r="AD7" s="28">
        <f>'[212]Arc Results'!$I$59</f>
        <v>1026.5700000000002</v>
      </c>
      <c r="AE7" s="28">
        <f>'[212]Arc Results'!$I$114</f>
        <v>238.04247104247105</v>
      </c>
      <c r="AF7" s="28">
        <f>'[212]Arc Results'!$I$125</f>
        <v>263.56370656370655</v>
      </c>
      <c r="AG7" s="28">
        <f>'[212]Arc Results'!$I$147</f>
        <v>2808.2818532818533</v>
      </c>
      <c r="AH7" s="28">
        <f>'[212]Arc Results'!$I$158</f>
        <v>2839.9227799227801</v>
      </c>
      <c r="AI7" s="28">
        <f>'[212]Arc Results'!$I$213</f>
        <v>5176.7999999999811</v>
      </c>
      <c r="AJ7" s="28">
        <f>'[212]Arc Results'!$I$224</f>
        <v>6327.2000000000007</v>
      </c>
      <c r="AK7" s="28">
        <f>'[212]Arc Results'!$I$180</f>
        <v>3063</v>
      </c>
      <c r="AL7" s="28">
        <f>'[212]Arc Results'!$I$191</f>
        <v>3067</v>
      </c>
      <c r="AM7" s="28">
        <f>'[212]Arc Results'!$I$81</f>
        <v>3185.8388030888032</v>
      </c>
      <c r="AN7" s="28">
        <f>'[212]Arc Results'!$I$81</f>
        <v>3185.8388030888032</v>
      </c>
      <c r="AP7" s="9">
        <f t="shared" si="10"/>
        <v>1.1763005780346822</v>
      </c>
      <c r="AQ7" s="9">
        <f t="shared" si="11"/>
        <v>1.1480391214342078</v>
      </c>
      <c r="AR7" s="9">
        <f t="shared" si="12"/>
        <v>1.0508790295267711</v>
      </c>
      <c r="AS7" s="9">
        <f t="shared" si="13"/>
        <v>1.0056019441036035</v>
      </c>
      <c r="AT7" s="9">
        <f t="shared" si="14"/>
        <v>1.1000000000000019</v>
      </c>
      <c r="AU7" s="9">
        <f t="shared" si="15"/>
        <v>1.000652528548124</v>
      </c>
      <c r="AV7" s="9">
        <f t="shared" si="16"/>
        <v>1</v>
      </c>
    </row>
    <row r="8" spans="1:48" ht="15.75">
      <c r="A8">
        <f t="shared" si="17"/>
        <v>4</v>
      </c>
      <c r="B8" s="9">
        <v>2020</v>
      </c>
      <c r="C8" s="9" t="s">
        <v>4</v>
      </c>
      <c r="D8" s="9" t="s">
        <v>5</v>
      </c>
      <c r="E8" s="7" t="s">
        <v>6</v>
      </c>
      <c r="F8" s="7" t="s">
        <v>78</v>
      </c>
      <c r="G8" s="7" t="s">
        <v>8</v>
      </c>
      <c r="H8" s="7" t="s">
        <v>9</v>
      </c>
      <c r="I8" s="9" t="s">
        <v>45</v>
      </c>
      <c r="J8" s="9">
        <v>500</v>
      </c>
      <c r="K8" s="9">
        <v>0.8</v>
      </c>
      <c r="L8" s="28">
        <f>'[213]Arc Results'!$I$10960+'[213]Arc Results'!$I$10971+'[213]Arc Results'!$I$10982+'[213]Arc Results'!$I$10993+'[213]Arc Results'!$I$11004+'[213]Arc Results'!$I$11015+'[213]Arc Results'!$I$11026+'[213]Arc Results'!$I$11037+'[213]Arc Results'!$I$11048+'[213]Arc Results'!$I$11059+'[213]Arc Results'!$I$11070+'[213]Arc Results'!$I$11081+'[213]Arc Results'!$I$11092+'[213]Arc Results'!$I$11103+'[213]Arc Results'!$I$11114+'[213]Arc Results'!$I$11125+'[213]Arc Results'!$I$11136+'[213]Arc Results'!$I$11147+'[213]Arc Results'!$I$11158+'[213]Arc Results'!$I$11169+'[213]Arc Results'!$I$11180+'[213]Arc Results'!$I$11191+'[213]Arc Results'!$I$11202+'[213]Arc Results'!$I$11213+'[213]Arc Results'!$I$11224+'[213]Arc Results'!$I$11235+'[213]Arc Results'!$I$11246+'[213]Arc Results'!$I$11257+'[213]Arc Results'!$I$11268</f>
        <v>3736.150361853287</v>
      </c>
      <c r="M8" s="28">
        <f>'[213]Arc Results'!$I$257</f>
        <v>6165.6637714285753</v>
      </c>
      <c r="N8" s="28">
        <f t="shared" si="1"/>
        <v>5553.2818532818528</v>
      </c>
      <c r="O8" s="28">
        <f t="shared" si="2"/>
        <v>8602.8456630792753</v>
      </c>
      <c r="P8" s="28">
        <f t="shared" si="3"/>
        <v>10089.000000000005</v>
      </c>
      <c r="Q8" s="28">
        <f t="shared" si="4"/>
        <v>1040.8185328185327</v>
      </c>
      <c r="R8" s="28">
        <f t="shared" si="5"/>
        <v>425.04247104247099</v>
      </c>
      <c r="S8" s="28">
        <f t="shared" si="6"/>
        <v>204.61621621621623</v>
      </c>
      <c r="T8" s="28">
        <f t="shared" si="7"/>
        <v>6130</v>
      </c>
      <c r="U8" s="28" t="str">
        <f>[213]Log!$K$2</f>
        <v>304.227.461,11</v>
      </c>
      <c r="V8" s="28" t="str">
        <f>[213]Log!$J$2</f>
        <v>47.021.289,99</v>
      </c>
      <c r="W8" s="28" t="str">
        <f>[213]Log!$N$2</f>
        <v>71.928.700,54</v>
      </c>
      <c r="X8" s="32">
        <f t="shared" si="8"/>
        <v>0</v>
      </c>
      <c r="Y8" s="28"/>
      <c r="Z8" s="33">
        <f t="shared" si="9"/>
        <v>38211.268507866931</v>
      </c>
      <c r="AA8" s="28">
        <f>'[213]Arc Results'!$I$15</f>
        <v>46.21621621621621</v>
      </c>
      <c r="AB8" s="28">
        <f>'[213]Arc Results'!$I$26</f>
        <v>158.4</v>
      </c>
      <c r="AC8" s="28">
        <f>'[213]Arc Results'!$I$48</f>
        <v>399.70463320463318</v>
      </c>
      <c r="AD8" s="28">
        <f>'[213]Arc Results'!$I$59</f>
        <v>641.11389961389966</v>
      </c>
      <c r="AE8" s="28">
        <f>'[213]Arc Results'!$I$114</f>
        <v>199.76061776061775</v>
      </c>
      <c r="AF8" s="28">
        <f>'[213]Arc Results'!$I$125</f>
        <v>225.28185328185327</v>
      </c>
      <c r="AG8" s="28">
        <f>'[213]Arc Results'!$I$147</f>
        <v>2760.8204633204632</v>
      </c>
      <c r="AH8" s="28">
        <f>'[213]Arc Results'!$I$158</f>
        <v>2792.4613899613901</v>
      </c>
      <c r="AI8" s="28">
        <f>'[213]Arc Results'!$I$213</f>
        <v>4141.3513513513517</v>
      </c>
      <c r="AJ8" s="28">
        <f>'[213]Arc Results'!$I$224</f>
        <v>4461.4943117279245</v>
      </c>
      <c r="AK8" s="28">
        <f>'[213]Arc Results'!$I$180</f>
        <v>3063</v>
      </c>
      <c r="AL8" s="28">
        <f>'[213]Arc Results'!$I$191</f>
        <v>3067.0000000000005</v>
      </c>
      <c r="AM8" s="28">
        <f>'[213]Arc Results'!$I$81</f>
        <v>5044.5000000000027</v>
      </c>
      <c r="AN8" s="28">
        <f>'[213]Arc Results'!$I$81</f>
        <v>5044.5000000000027</v>
      </c>
      <c r="AP8" s="9">
        <f t="shared" si="10"/>
        <v>1.548264384213029</v>
      </c>
      <c r="AQ8" s="9">
        <f t="shared" si="11"/>
        <v>1.2319417446915855</v>
      </c>
      <c r="AR8" s="9">
        <f t="shared" si="12"/>
        <v>1.0600439656268736</v>
      </c>
      <c r="AS8" s="9">
        <f t="shared" si="13"/>
        <v>1.0056976986720436</v>
      </c>
      <c r="AT8" s="9">
        <f t="shared" si="14"/>
        <v>1.0372136119738296</v>
      </c>
      <c r="AU8" s="9">
        <f t="shared" si="15"/>
        <v>1.000652528548124</v>
      </c>
      <c r="AV8" s="9">
        <f t="shared" si="16"/>
        <v>1</v>
      </c>
    </row>
    <row r="9" spans="1:48" ht="15.75">
      <c r="A9">
        <f t="shared" si="17"/>
        <v>5</v>
      </c>
      <c r="B9" s="9">
        <v>2020</v>
      </c>
      <c r="C9" s="9" t="s">
        <v>4</v>
      </c>
      <c r="D9" s="9" t="s">
        <v>5</v>
      </c>
      <c r="E9" s="7" t="s">
        <v>6</v>
      </c>
      <c r="F9" s="7" t="s">
        <v>79</v>
      </c>
      <c r="G9" s="7" t="s">
        <v>8</v>
      </c>
      <c r="H9" s="7" t="s">
        <v>9</v>
      </c>
      <c r="I9" s="9" t="s">
        <v>45</v>
      </c>
      <c r="J9" s="9">
        <v>500</v>
      </c>
      <c r="K9" s="9">
        <v>0.8</v>
      </c>
      <c r="L9" s="28">
        <f>'[214]Arc Results'!$I$10960+'[214]Arc Results'!$I$10971+'[214]Arc Results'!$I$10982+'[214]Arc Results'!$I$10993+'[214]Arc Results'!$I$11004+'[214]Arc Results'!$I$11015+'[214]Arc Results'!$I$11026+'[214]Arc Results'!$I$11037+'[214]Arc Results'!$I$11048+'[214]Arc Results'!$I$11059+'[214]Arc Results'!$I$11070+'[214]Arc Results'!$I$11081+'[214]Arc Results'!$I$11092+'[214]Arc Results'!$I$11103+'[214]Arc Results'!$I$11114+'[214]Arc Results'!$I$11125+'[214]Arc Results'!$I$11136+'[214]Arc Results'!$I$11147+'[214]Arc Results'!$I$11158+'[214]Arc Results'!$I$11169+'[214]Arc Results'!$I$11180+'[214]Arc Results'!$I$11191+'[214]Arc Results'!$I$11202+'[214]Arc Results'!$I$11213+'[214]Arc Results'!$I$11224+'[214]Arc Results'!$I$11235+'[214]Arc Results'!$I$11246+'[214]Arc Results'!$I$11257+'[214]Arc Results'!$I$11268</f>
        <v>3971.52775080129</v>
      </c>
      <c r="M9" s="28">
        <f>'[214]Arc Results'!$I$257</f>
        <v>6165.6637714285735</v>
      </c>
      <c r="N9" s="28">
        <f t="shared" si="1"/>
        <v>5703.5762548262555</v>
      </c>
      <c r="O9" s="28">
        <f t="shared" si="2"/>
        <v>9908.2432432432433</v>
      </c>
      <c r="P9" s="28">
        <f t="shared" si="3"/>
        <v>7266.7749863902218</v>
      </c>
      <c r="Q9" s="28">
        <f t="shared" si="4"/>
        <v>2247.864864864865</v>
      </c>
      <c r="R9" s="28">
        <f t="shared" si="5"/>
        <v>546.26833976833973</v>
      </c>
      <c r="S9" s="28">
        <f t="shared" si="6"/>
        <v>528</v>
      </c>
      <c r="T9" s="28">
        <f t="shared" si="7"/>
        <v>6130</v>
      </c>
      <c r="U9" s="28" t="str">
        <f>[214]Log!$K$2</f>
        <v>326.971.959,31</v>
      </c>
      <c r="V9" s="28" t="str">
        <f>[214]Log!$J$2</f>
        <v>47.021.289,99</v>
      </c>
      <c r="W9" s="28" t="str">
        <f>[214]Log!$N$2</f>
        <v>71.928.700,54</v>
      </c>
      <c r="X9" s="32">
        <f t="shared" si="8"/>
        <v>0</v>
      </c>
      <c r="Y9" s="28"/>
      <c r="Z9" s="33">
        <f t="shared" si="9"/>
        <v>38496.391460521496</v>
      </c>
      <c r="AA9" s="28">
        <f>'[214]Arc Results'!$I$15</f>
        <v>264</v>
      </c>
      <c r="AB9" s="28">
        <f>'[214]Arc Results'!$I$26</f>
        <v>264</v>
      </c>
      <c r="AC9" s="28">
        <f>'[214]Arc Results'!$I$48</f>
        <v>1003.2277992277992</v>
      </c>
      <c r="AD9" s="28">
        <f>'[214]Arc Results'!$I$59</f>
        <v>1244.6370656370657</v>
      </c>
      <c r="AE9" s="28">
        <f>'[214]Arc Results'!$I$114</f>
        <v>257.18339768339769</v>
      </c>
      <c r="AF9" s="28">
        <f>'[214]Arc Results'!$I$125</f>
        <v>289.0849420849421</v>
      </c>
      <c r="AG9" s="28">
        <f>'[214]Arc Results'!$I$147</f>
        <v>2832.0125482625485</v>
      </c>
      <c r="AH9" s="28">
        <f>'[214]Arc Results'!$I$158</f>
        <v>2871.5637065637065</v>
      </c>
      <c r="AI9" s="28">
        <f>'[214]Arc Results'!$I$213</f>
        <v>4777.4324324324325</v>
      </c>
      <c r="AJ9" s="28">
        <f>'[214]Arc Results'!$I$224</f>
        <v>5130.8108108108108</v>
      </c>
      <c r="AK9" s="28">
        <f>'[214]Arc Results'!$I$180</f>
        <v>3063</v>
      </c>
      <c r="AL9" s="28">
        <f>'[214]Arc Results'!$I$191</f>
        <v>3067</v>
      </c>
      <c r="AM9" s="28">
        <f>'[214]Arc Results'!$I$81</f>
        <v>3633.3874931951109</v>
      </c>
      <c r="AN9" s="28">
        <f>'[214]Arc Results'!$I$81</f>
        <v>3633.3874931951109</v>
      </c>
      <c r="AP9" s="9">
        <f t="shared" si="10"/>
        <v>1</v>
      </c>
      <c r="AQ9" s="9">
        <f t="shared" si="11"/>
        <v>1.1073949195890738</v>
      </c>
      <c r="AR9" s="9">
        <f t="shared" si="12"/>
        <v>1.0583990359299849</v>
      </c>
      <c r="AS9" s="9">
        <f t="shared" si="13"/>
        <v>1.0069344489376626</v>
      </c>
      <c r="AT9" s="9">
        <f t="shared" si="14"/>
        <v>1.0356650891286261</v>
      </c>
      <c r="AU9" s="9">
        <f t="shared" si="15"/>
        <v>1.000652528548124</v>
      </c>
      <c r="AV9" s="9">
        <f t="shared" si="16"/>
        <v>1</v>
      </c>
    </row>
    <row r="10" spans="1:48" ht="15.75">
      <c r="A10">
        <f t="shared" si="17"/>
        <v>6</v>
      </c>
      <c r="B10" s="9">
        <v>2020</v>
      </c>
      <c r="C10" s="9" t="s">
        <v>4</v>
      </c>
      <c r="D10" s="9" t="s">
        <v>5</v>
      </c>
      <c r="E10" s="7" t="s">
        <v>6</v>
      </c>
      <c r="F10" s="7" t="s">
        <v>80</v>
      </c>
      <c r="G10" s="7" t="s">
        <v>8</v>
      </c>
      <c r="H10" s="7" t="s">
        <v>9</v>
      </c>
      <c r="I10" s="9" t="s">
        <v>45</v>
      </c>
      <c r="J10" s="9">
        <v>500</v>
      </c>
      <c r="K10" s="9">
        <v>0.8</v>
      </c>
      <c r="L10" s="28">
        <f>'[215]Arc Results'!$I$10960+'[215]Arc Results'!$I$10971+'[215]Arc Results'!$I$10982+'[215]Arc Results'!$I$10993+'[215]Arc Results'!$I$11004+'[215]Arc Results'!$I$11015+'[215]Arc Results'!$I$11026+'[215]Arc Results'!$I$11037+'[215]Arc Results'!$I$11048+'[215]Arc Results'!$I$11059+'[215]Arc Results'!$I$11070+'[215]Arc Results'!$I$11081+'[215]Arc Results'!$I$11092+'[215]Arc Results'!$I$11103+'[215]Arc Results'!$I$11114+'[215]Arc Results'!$I$11125+'[215]Arc Results'!$I$11136+'[215]Arc Results'!$I$11147+'[215]Arc Results'!$I$11158+'[215]Arc Results'!$I$11169+'[215]Arc Results'!$I$11180+'[215]Arc Results'!$I$11191+'[215]Arc Results'!$I$11202+'[215]Arc Results'!$I$11213+'[215]Arc Results'!$I$11224+'[215]Arc Results'!$I$11235+'[215]Arc Results'!$I$11246+'[215]Arc Results'!$I$11257+'[215]Arc Results'!$I$11268</f>
        <v>3965.7601832337227</v>
      </c>
      <c r="M10" s="28">
        <f>'[215]Arc Results'!$I$257</f>
        <v>6165.6637714285689</v>
      </c>
      <c r="N10" s="28">
        <f t="shared" si="1"/>
        <v>5671.9353281853282</v>
      </c>
      <c r="O10" s="28">
        <f t="shared" si="2"/>
        <v>9625.54054054054</v>
      </c>
      <c r="P10" s="28">
        <f t="shared" si="3"/>
        <v>6816.4883686296071</v>
      </c>
      <c r="Q10" s="28">
        <f t="shared" si="4"/>
        <v>3219.9999999999995</v>
      </c>
      <c r="R10" s="28">
        <f t="shared" si="5"/>
        <v>520.74710424710429</v>
      </c>
      <c r="S10" s="28">
        <f t="shared" si="6"/>
        <v>471.97297297297291</v>
      </c>
      <c r="T10" s="28">
        <f t="shared" si="7"/>
        <v>6130</v>
      </c>
      <c r="U10" s="28" t="str">
        <f>[215]Log!$K$2</f>
        <v>320.665.240,13</v>
      </c>
      <c r="V10" s="28" t="str">
        <f>[215]Log!$J$2</f>
        <v>47.021.289,99</v>
      </c>
      <c r="W10" s="28" t="str">
        <f>[215]Log!$N$2</f>
        <v>71.928.700,54</v>
      </c>
      <c r="X10" s="32">
        <f t="shared" si="8"/>
        <v>0</v>
      </c>
      <c r="Y10" s="28"/>
      <c r="Z10" s="33">
        <f t="shared" si="9"/>
        <v>38622.348086004116</v>
      </c>
      <c r="AA10" s="28">
        <f>'[215]Arc Results'!$I$15</f>
        <v>207.97297297297294</v>
      </c>
      <c r="AB10" s="28">
        <f>'[215]Arc Results'!$I$26</f>
        <v>264</v>
      </c>
      <c r="AC10" s="28">
        <f>'[215]Arc Results'!$I$48</f>
        <v>1509.0499999999995</v>
      </c>
      <c r="AD10" s="28">
        <f>'[215]Arc Results'!$I$59</f>
        <v>1710.95</v>
      </c>
      <c r="AE10" s="28">
        <f>'[215]Arc Results'!$I$114</f>
        <v>244.42277992277991</v>
      </c>
      <c r="AF10" s="28">
        <f>'[215]Arc Results'!$I$125</f>
        <v>276.32432432432432</v>
      </c>
      <c r="AG10" s="28">
        <f>'[215]Arc Results'!$I$147</f>
        <v>2816.1920849420849</v>
      </c>
      <c r="AH10" s="28">
        <f>'[215]Arc Results'!$I$158</f>
        <v>2855.7432432432433</v>
      </c>
      <c r="AI10" s="28">
        <f>'[215]Arc Results'!$I$213</f>
        <v>4636.0810810810808</v>
      </c>
      <c r="AJ10" s="28">
        <f>'[215]Arc Results'!$I$224</f>
        <v>4989.4594594594591</v>
      </c>
      <c r="AK10" s="28">
        <f>'[215]Arc Results'!$I$180</f>
        <v>3063</v>
      </c>
      <c r="AL10" s="28">
        <f>'[215]Arc Results'!$I$191</f>
        <v>3067.0000000000005</v>
      </c>
      <c r="AM10" s="28">
        <f>'[215]Arc Results'!$I$81</f>
        <v>3408.2441843148035</v>
      </c>
      <c r="AN10" s="28">
        <f>'[215]Arc Results'!$I$81</f>
        <v>3408.2441843148035</v>
      </c>
      <c r="AP10" s="9">
        <f t="shared" si="10"/>
        <v>1.1187081257515892</v>
      </c>
      <c r="AQ10" s="9">
        <f t="shared" si="11"/>
        <v>1.0627018633540375</v>
      </c>
      <c r="AR10" s="9">
        <f t="shared" si="12"/>
        <v>1.0612611076304832</v>
      </c>
      <c r="AS10" s="9">
        <f t="shared" si="13"/>
        <v>1.0069731328043567</v>
      </c>
      <c r="AT10" s="9">
        <f t="shared" si="14"/>
        <v>1.0367125749343666</v>
      </c>
      <c r="AU10" s="9">
        <f t="shared" si="15"/>
        <v>1.000652528548124</v>
      </c>
      <c r="AV10" s="9">
        <f t="shared" si="16"/>
        <v>1</v>
      </c>
    </row>
    <row r="11" spans="1:48" ht="15.75">
      <c r="A11">
        <f t="shared" si="17"/>
        <v>7</v>
      </c>
      <c r="B11" s="9">
        <v>2020</v>
      </c>
      <c r="C11" s="9" t="s">
        <v>4</v>
      </c>
      <c r="D11" s="9" t="s">
        <v>5</v>
      </c>
      <c r="E11" s="7" t="s">
        <v>6</v>
      </c>
      <c r="F11" s="7" t="s">
        <v>81</v>
      </c>
      <c r="G11" s="7" t="s">
        <v>8</v>
      </c>
      <c r="H11" s="7" t="s">
        <v>9</v>
      </c>
      <c r="I11" s="9" t="s">
        <v>45</v>
      </c>
      <c r="J11" s="9">
        <v>500</v>
      </c>
      <c r="K11" s="9">
        <v>0.8</v>
      </c>
      <c r="L11" s="28">
        <f>'[216]Arc Results'!$I$10960+'[216]Arc Results'!$I$10971+'[216]Arc Results'!$I$10982+'[216]Arc Results'!$I$10993+'[216]Arc Results'!$I$11004+'[216]Arc Results'!$I$11015+'[216]Arc Results'!$I$11026+'[216]Arc Results'!$I$11037+'[216]Arc Results'!$I$11048+'[216]Arc Results'!$I$11059+'[216]Arc Results'!$I$11070+'[216]Arc Results'!$I$11081+'[216]Arc Results'!$I$11092+'[216]Arc Results'!$I$11103+'[216]Arc Results'!$I$11114+'[216]Arc Results'!$I$11125+'[216]Arc Results'!$I$11136+'[216]Arc Results'!$I$11147+'[216]Arc Results'!$I$11158+'[216]Arc Results'!$I$11169+'[216]Arc Results'!$I$11180+'[216]Arc Results'!$I$11191+'[216]Arc Results'!$I$11202+'[216]Arc Results'!$I$11213+'[216]Arc Results'!$I$11224+'[216]Arc Results'!$I$11235+'[216]Arc Results'!$I$11246+'[216]Arc Results'!$I$11257+'[216]Arc Results'!$I$11268</f>
        <v>3968.2519371428593</v>
      </c>
      <c r="M11" s="28">
        <f>'[216]Arc Results'!$I$257</f>
        <v>6165.6637714285944</v>
      </c>
      <c r="N11" s="28">
        <f t="shared" si="1"/>
        <v>5703.5762548262555</v>
      </c>
      <c r="O11" s="28">
        <f t="shared" si="2"/>
        <v>9864.3039989866156</v>
      </c>
      <c r="P11" s="28">
        <f t="shared" si="3"/>
        <v>7243.516409266409</v>
      </c>
      <c r="Q11" s="28">
        <f t="shared" si="4"/>
        <v>2187.5125482625481</v>
      </c>
      <c r="R11" s="28">
        <f t="shared" si="5"/>
        <v>671.99999999999966</v>
      </c>
      <c r="S11" s="28">
        <f t="shared" si="6"/>
        <v>518.18918918918916</v>
      </c>
      <c r="T11" s="28">
        <f t="shared" si="7"/>
        <v>6130</v>
      </c>
      <c r="U11" s="28" t="str">
        <f>[216]Log!$K$2</f>
        <v>326.700.115,01</v>
      </c>
      <c r="V11" s="28" t="str">
        <f>[216]Log!$J$2</f>
        <v>47.021.289,99</v>
      </c>
      <c r="W11" s="28" t="str">
        <f>[216]Log!$N$2</f>
        <v>71.928.700,54</v>
      </c>
      <c r="X11" s="32">
        <f t="shared" si="8"/>
        <v>0</v>
      </c>
      <c r="Y11" s="28"/>
      <c r="Z11" s="33">
        <f t="shared" si="9"/>
        <v>38484.762171959614</v>
      </c>
      <c r="AA11" s="28">
        <f>'[216]Arc Results'!$I$15</f>
        <v>254.18918918918914</v>
      </c>
      <c r="AB11" s="28">
        <f>'[216]Arc Results'!$I$26</f>
        <v>264</v>
      </c>
      <c r="AC11" s="28">
        <f>'[216]Arc Results'!$I$48</f>
        <v>942.87548262548262</v>
      </c>
      <c r="AD11" s="28">
        <f>'[216]Arc Results'!$I$59</f>
        <v>1244.6370656370657</v>
      </c>
      <c r="AE11" s="28">
        <f>'[216]Arc Results'!$I$114</f>
        <v>335.69999999999965</v>
      </c>
      <c r="AF11" s="28">
        <f>'[216]Arc Results'!$I$125</f>
        <v>336.3</v>
      </c>
      <c r="AG11" s="28">
        <f>'[216]Arc Results'!$I$147</f>
        <v>2832.0125482625485</v>
      </c>
      <c r="AH11" s="28">
        <f>'[216]Arc Results'!$I$158</f>
        <v>2871.5637065637065</v>
      </c>
      <c r="AI11" s="28">
        <f>'[216]Arc Results'!$I$213</f>
        <v>4777.4324324324325</v>
      </c>
      <c r="AJ11" s="28">
        <f>'[216]Arc Results'!$I$224</f>
        <v>5086.871566554184</v>
      </c>
      <c r="AK11" s="28">
        <f>'[216]Arc Results'!$I$180</f>
        <v>3063</v>
      </c>
      <c r="AL11" s="28">
        <f>'[216]Arc Results'!$I$191</f>
        <v>3067</v>
      </c>
      <c r="AM11" s="28">
        <f>'[216]Arc Results'!$I$81</f>
        <v>3621.7582046332045</v>
      </c>
      <c r="AN11" s="28">
        <f>'[216]Arc Results'!$I$81</f>
        <v>3621.7582046332045</v>
      </c>
      <c r="AP11" s="9">
        <f t="shared" si="10"/>
        <v>1.0189328743545611</v>
      </c>
      <c r="AQ11" s="9">
        <f t="shared" si="11"/>
        <v>1.1379473609197168</v>
      </c>
      <c r="AR11" s="9">
        <f t="shared" si="12"/>
        <v>1.0008928571428577</v>
      </c>
      <c r="AS11" s="9">
        <f t="shared" si="13"/>
        <v>1.0069344489376626</v>
      </c>
      <c r="AT11" s="9">
        <f t="shared" si="14"/>
        <v>1.0313695861515968</v>
      </c>
      <c r="AU11" s="9">
        <f t="shared" si="15"/>
        <v>1.000652528548124</v>
      </c>
      <c r="AV11" s="9">
        <f t="shared" si="16"/>
        <v>1</v>
      </c>
    </row>
    <row r="12" spans="1:48" ht="15.75">
      <c r="A12">
        <f t="shared" si="17"/>
        <v>8</v>
      </c>
      <c r="B12" s="9">
        <v>2020</v>
      </c>
      <c r="C12" s="9" t="s">
        <v>4</v>
      </c>
      <c r="D12" s="9" t="s">
        <v>5</v>
      </c>
      <c r="E12" s="7" t="s">
        <v>6</v>
      </c>
      <c r="F12" s="20" t="s">
        <v>82</v>
      </c>
      <c r="G12" s="7" t="s">
        <v>8</v>
      </c>
      <c r="H12" s="7" t="s">
        <v>9</v>
      </c>
      <c r="I12" s="9" t="s">
        <v>45</v>
      </c>
      <c r="J12" s="9">
        <v>500</v>
      </c>
      <c r="K12" s="9">
        <v>0.8</v>
      </c>
      <c r="L12" s="28">
        <f>'[217]Arc Results'!$I$10960+'[217]Arc Results'!$I$10971+'[217]Arc Results'!$I$10982+'[217]Arc Results'!$I$10993+'[217]Arc Results'!$I$11004+'[217]Arc Results'!$I$11015+'[217]Arc Results'!$I$11026+'[217]Arc Results'!$I$11037+'[217]Arc Results'!$I$11048+'[217]Arc Results'!$I$11059+'[217]Arc Results'!$I$11070+'[217]Arc Results'!$I$11081+'[217]Arc Results'!$I$11092+'[217]Arc Results'!$I$11103+'[217]Arc Results'!$I$11114+'[217]Arc Results'!$I$11125+'[217]Arc Results'!$I$11136+'[217]Arc Results'!$I$11147+'[217]Arc Results'!$I$11158+'[217]Arc Results'!$I$11169+'[217]Arc Results'!$I$11180+'[217]Arc Results'!$I$11191+'[217]Arc Results'!$I$11202+'[217]Arc Results'!$I$11213+'[217]Arc Results'!$I$11224+'[217]Arc Results'!$I$11235+'[217]Arc Results'!$I$11246+'[217]Arc Results'!$I$11257+'[217]Arc Results'!$I$11268</f>
        <v>4095.2483657142861</v>
      </c>
      <c r="M12" s="28">
        <f>'[217]Arc Results'!$I$257</f>
        <v>6165.6637714285571</v>
      </c>
      <c r="N12" s="28">
        <f t="shared" si="1"/>
        <v>5490</v>
      </c>
      <c r="O12" s="28">
        <f t="shared" si="2"/>
        <v>9978.9189189189201</v>
      </c>
      <c r="P12" s="28">
        <f t="shared" si="3"/>
        <v>7534.1293436293436</v>
      </c>
      <c r="Q12" s="28">
        <f t="shared" si="4"/>
        <v>2247.864864864865</v>
      </c>
      <c r="R12" s="28">
        <f t="shared" si="5"/>
        <v>552.64864864864865</v>
      </c>
      <c r="S12" s="28">
        <f t="shared" si="6"/>
        <v>528</v>
      </c>
      <c r="T12" s="28">
        <f t="shared" si="7"/>
        <v>6130</v>
      </c>
      <c r="U12" s="28" t="str">
        <f>[217]Log!$K$2</f>
        <v>341.198.001,61</v>
      </c>
      <c r="V12" s="28" t="str">
        <f>[217]Log!$J$2</f>
        <v>47.021.289,99</v>
      </c>
      <c r="W12" s="28" t="str">
        <f>[217]Log!$N$2</f>
        <v>71.928.700,54</v>
      </c>
      <c r="X12" s="32">
        <f t="shared" si="8"/>
        <v>0</v>
      </c>
      <c r="Y12" s="28"/>
      <c r="Z12" s="33">
        <f t="shared" si="9"/>
        <v>38627.225547490336</v>
      </c>
      <c r="AA12" s="28">
        <f>'[217]Arc Results'!$I$15</f>
        <v>264</v>
      </c>
      <c r="AB12" s="28">
        <f>'[217]Arc Results'!$I$26</f>
        <v>264</v>
      </c>
      <c r="AC12" s="28">
        <f>'[217]Arc Results'!$I$48</f>
        <v>1003.2277992277992</v>
      </c>
      <c r="AD12" s="28">
        <f>'[217]Arc Results'!$I$59</f>
        <v>1244.6370656370657</v>
      </c>
      <c r="AE12" s="28">
        <f>'[217]Arc Results'!$I$114</f>
        <v>263.56370656370655</v>
      </c>
      <c r="AF12" s="28">
        <f>'[217]Arc Results'!$I$125</f>
        <v>289.0849420849421</v>
      </c>
      <c r="AG12" s="28">
        <f>'[217]Arc Results'!$I$147</f>
        <v>2745</v>
      </c>
      <c r="AH12" s="28">
        <f>'[217]Arc Results'!$I$158</f>
        <v>2745</v>
      </c>
      <c r="AI12" s="28">
        <f>'[217]Arc Results'!$I$213</f>
        <v>4848.1081081081084</v>
      </c>
      <c r="AJ12" s="28">
        <f>'[217]Arc Results'!$I$224</f>
        <v>5130.8108108108108</v>
      </c>
      <c r="AK12" s="28">
        <f>'[217]Arc Results'!$I$180</f>
        <v>3063</v>
      </c>
      <c r="AL12" s="28">
        <f>'[217]Arc Results'!$I$191</f>
        <v>3067</v>
      </c>
      <c r="AM12" s="28">
        <f>'[217]Arc Results'!$I$81</f>
        <v>3767.0646718146718</v>
      </c>
      <c r="AN12" s="28">
        <f>'[217]Arc Results'!$I$81</f>
        <v>3767.0646718146718</v>
      </c>
      <c r="AP12" s="9">
        <f t="shared" si="10"/>
        <v>1</v>
      </c>
      <c r="AQ12" s="9">
        <f t="shared" si="11"/>
        <v>1.1073949195890738</v>
      </c>
      <c r="AR12" s="9">
        <f t="shared" si="12"/>
        <v>1.0461798569192935</v>
      </c>
      <c r="AS12" s="9">
        <f t="shared" si="13"/>
        <v>1</v>
      </c>
      <c r="AT12" s="9">
        <f t="shared" si="14"/>
        <v>1.0283299929581278</v>
      </c>
      <c r="AU12" s="9">
        <f t="shared" si="15"/>
        <v>1.000652528548124</v>
      </c>
      <c r="AV12" s="9">
        <f t="shared" si="16"/>
        <v>1</v>
      </c>
    </row>
    <row r="13" spans="1:48" ht="15.75">
      <c r="A13">
        <f t="shared" si="17"/>
        <v>9</v>
      </c>
      <c r="B13" s="9">
        <v>2020</v>
      </c>
      <c r="C13" s="9" t="s">
        <v>4</v>
      </c>
      <c r="D13" s="9" t="s">
        <v>5</v>
      </c>
      <c r="E13" s="7" t="s">
        <v>6</v>
      </c>
      <c r="F13" s="20" t="s">
        <v>83</v>
      </c>
      <c r="G13" s="7" t="s">
        <v>8</v>
      </c>
      <c r="H13" s="7" t="s">
        <v>9</v>
      </c>
      <c r="I13" s="9" t="s">
        <v>45</v>
      </c>
      <c r="J13" s="9">
        <v>500</v>
      </c>
      <c r="K13" s="9">
        <v>0.8</v>
      </c>
      <c r="L13" s="28">
        <f>'[218]Arc Results'!$I$10960+'[218]Arc Results'!$I$10971+'[218]Arc Results'!$I$10982+'[218]Arc Results'!$I$10993+'[218]Arc Results'!$I$11004+'[218]Arc Results'!$I$11015+'[218]Arc Results'!$I$11026+'[218]Arc Results'!$I$11037+'[218]Arc Results'!$I$11048+'[218]Arc Results'!$I$11059+'[218]Arc Results'!$I$11070+'[218]Arc Results'!$I$11081+'[218]Arc Results'!$I$11092+'[218]Arc Results'!$I$11103+'[218]Arc Results'!$I$11114+'[218]Arc Results'!$I$11125+'[218]Arc Results'!$I$11136+'[218]Arc Results'!$I$11147+'[218]Arc Results'!$I$11158+'[218]Arc Results'!$I$11169+'[218]Arc Results'!$I$11180+'[218]Arc Results'!$I$11191+'[218]Arc Results'!$I$11202+'[218]Arc Results'!$I$11213+'[218]Arc Results'!$I$11224+'[218]Arc Results'!$I$11235+'[218]Arc Results'!$I$11246+'[218]Arc Results'!$I$11257+'[218]Arc Results'!$I$11268</f>
        <v>4163.6448679184068</v>
      </c>
      <c r="M13" s="28">
        <f>'[218]Arc Results'!$I$257</f>
        <v>6165.6637714285853</v>
      </c>
      <c r="N13" s="28">
        <f t="shared" si="1"/>
        <v>5766.8581081081084</v>
      </c>
      <c r="O13" s="28">
        <f t="shared" si="2"/>
        <v>8058.8963963963961</v>
      </c>
      <c r="P13" s="28">
        <f t="shared" si="3"/>
        <v>8630.285359620595</v>
      </c>
      <c r="Q13" s="28">
        <f t="shared" si="4"/>
        <v>2719.906332046332</v>
      </c>
      <c r="R13" s="28">
        <f t="shared" si="5"/>
        <v>597.31081081081084</v>
      </c>
      <c r="S13" s="28">
        <f t="shared" si="6"/>
        <v>528</v>
      </c>
      <c r="T13" s="28">
        <f t="shared" si="7"/>
        <v>6130</v>
      </c>
      <c r="U13" s="28" t="str">
        <f>[218]Log!$K$2</f>
        <v>349.021.236,82</v>
      </c>
      <c r="V13" s="28" t="str">
        <f>[218]Log!$J$2</f>
        <v>47.021.289,99</v>
      </c>
      <c r="W13" s="28" t="str">
        <f>[218]Log!$N$2</f>
        <v>71.928.700,54</v>
      </c>
      <c r="X13" s="32">
        <f t="shared" si="8"/>
        <v>0</v>
      </c>
      <c r="Y13" s="28"/>
      <c r="Z13" s="33">
        <f t="shared" si="9"/>
        <v>38596.920778410829</v>
      </c>
      <c r="AA13" s="28">
        <f>'[218]Arc Results'!$I$15</f>
        <v>264</v>
      </c>
      <c r="AB13" s="28">
        <f>'[218]Arc Results'!$I$26</f>
        <v>264</v>
      </c>
      <c r="AC13" s="28">
        <f>'[218]Arc Results'!$I$48</f>
        <v>1233.8600000000001</v>
      </c>
      <c r="AD13" s="28">
        <f>'[218]Arc Results'!$I$59</f>
        <v>1486.0463320463321</v>
      </c>
      <c r="AE13" s="28">
        <f>'[218]Arc Results'!$I$114</f>
        <v>282.70463320463318</v>
      </c>
      <c r="AF13" s="28">
        <f>'[218]Arc Results'!$I$125</f>
        <v>314.6061776061776</v>
      </c>
      <c r="AG13" s="28">
        <f>'[218]Arc Results'!$I$147</f>
        <v>2863.6534749034749</v>
      </c>
      <c r="AH13" s="28">
        <f>'[218]Arc Results'!$I$158</f>
        <v>2903.2046332046334</v>
      </c>
      <c r="AI13" s="28">
        <f>'[218]Arc Results'!$I$213</f>
        <v>4000</v>
      </c>
      <c r="AJ13" s="28">
        <f>'[218]Arc Results'!$I$224</f>
        <v>4058.8963963963965</v>
      </c>
      <c r="AK13" s="28">
        <f>'[218]Arc Results'!$I$180</f>
        <v>3063</v>
      </c>
      <c r="AL13" s="28">
        <f>'[218]Arc Results'!$I$191</f>
        <v>3067</v>
      </c>
      <c r="AM13" s="28">
        <f>'[218]Arc Results'!$I$81</f>
        <v>4315.1426798102975</v>
      </c>
      <c r="AN13" s="28">
        <f>'[218]Arc Results'!$I$81</f>
        <v>4315.1426798102975</v>
      </c>
      <c r="AP13" s="9">
        <f t="shared" si="10"/>
        <v>1</v>
      </c>
      <c r="AQ13" s="9">
        <f t="shared" si="11"/>
        <v>1.0927187561847391</v>
      </c>
      <c r="AR13" s="9">
        <f t="shared" si="12"/>
        <v>1.0534086171288948</v>
      </c>
      <c r="AS13" s="9">
        <f t="shared" si="13"/>
        <v>1.0068583546811305</v>
      </c>
      <c r="AT13" s="9">
        <f t="shared" si="14"/>
        <v>1.0073082458812515</v>
      </c>
      <c r="AU13" s="9">
        <f t="shared" si="15"/>
        <v>1.000652528548124</v>
      </c>
      <c r="AV13" s="9">
        <f t="shared" si="16"/>
        <v>1</v>
      </c>
    </row>
    <row r="14" spans="1:48" ht="15.75">
      <c r="A14">
        <f t="shared" si="17"/>
        <v>10</v>
      </c>
      <c r="B14" s="9">
        <v>2020</v>
      </c>
      <c r="C14" s="9" t="s">
        <v>4</v>
      </c>
      <c r="D14" s="9" t="s">
        <v>5</v>
      </c>
      <c r="E14" s="7" t="s">
        <v>6</v>
      </c>
      <c r="F14" s="20" t="s">
        <v>84</v>
      </c>
      <c r="G14" s="7" t="s">
        <v>8</v>
      </c>
      <c r="H14" s="7" t="s">
        <v>9</v>
      </c>
      <c r="I14" s="9" t="s">
        <v>45</v>
      </c>
      <c r="J14" s="9">
        <v>500</v>
      </c>
      <c r="K14" s="9">
        <v>0.8</v>
      </c>
      <c r="L14" s="28">
        <f>'[219]Arc Results'!$I$10960+'[219]Arc Results'!$I$10971+'[219]Arc Results'!$I$10982+'[219]Arc Results'!$I$10993+'[219]Arc Results'!$I$11004+'[219]Arc Results'!$I$11015+'[219]Arc Results'!$I$11026+'[219]Arc Results'!$I$11037+'[219]Arc Results'!$I$11048+'[219]Arc Results'!$I$11059+'[219]Arc Results'!$I$11070+'[219]Arc Results'!$I$11081+'[219]Arc Results'!$I$11092+'[219]Arc Results'!$I$11103+'[219]Arc Results'!$I$11114+'[219]Arc Results'!$I$11125+'[219]Arc Results'!$I$11136+'[219]Arc Results'!$I$11147+'[219]Arc Results'!$I$11158+'[219]Arc Results'!$I$11169+'[219]Arc Results'!$I$11180+'[219]Arc Results'!$I$11191+'[219]Arc Results'!$I$11202+'[219]Arc Results'!$I$11213+'[219]Arc Results'!$I$11224+'[219]Arc Results'!$I$11235+'[219]Arc Results'!$I$11246+'[219]Arc Results'!$I$11257+'[219]Arc Results'!$I$11268</f>
        <v>3564.5676707336002</v>
      </c>
      <c r="M14" s="28">
        <f>'[219]Arc Results'!$I$257</f>
        <v>6165.6637714285816</v>
      </c>
      <c r="N14" s="28">
        <f t="shared" si="1"/>
        <v>6124.0000000000018</v>
      </c>
      <c r="O14" s="28">
        <f t="shared" si="2"/>
        <v>11504.000000000007</v>
      </c>
      <c r="P14" s="28">
        <f t="shared" si="3"/>
        <v>4628</v>
      </c>
      <c r="Q14" s="28">
        <f t="shared" si="4"/>
        <v>3136.6440154440152</v>
      </c>
      <c r="R14" s="28">
        <f t="shared" si="5"/>
        <v>644.5258687258688</v>
      </c>
      <c r="S14" s="28">
        <f t="shared" si="6"/>
        <v>528</v>
      </c>
      <c r="T14" s="28">
        <f t="shared" si="7"/>
        <v>6130</v>
      </c>
      <c r="U14" s="28" t="str">
        <f>[219]Log!$K$2</f>
        <v>343.462.380,27</v>
      </c>
      <c r="V14" s="28" t="str">
        <f>[219]Log!$J$2</f>
        <v>47.021.289,99</v>
      </c>
      <c r="W14" s="28" t="str">
        <f>[219]Log!$N$2</f>
        <v>71.928.700,54</v>
      </c>
      <c r="X14" s="32">
        <f t="shared" si="8"/>
        <v>0</v>
      </c>
      <c r="Y14" s="28"/>
      <c r="Z14" s="33">
        <f t="shared" si="9"/>
        <v>38860.833655598472</v>
      </c>
      <c r="AA14" s="28">
        <f>'[219]Arc Results'!$I$15</f>
        <v>264</v>
      </c>
      <c r="AB14" s="28">
        <f>'[219]Arc Results'!$I$26</f>
        <v>264</v>
      </c>
      <c r="AC14" s="28">
        <f>'[219]Arc Results'!$I$48</f>
        <v>1425.6940154440153</v>
      </c>
      <c r="AD14" s="28">
        <f>'[219]Arc Results'!$I$59</f>
        <v>1710.95</v>
      </c>
      <c r="AE14" s="28">
        <f>'[219]Arc Results'!$I$114</f>
        <v>308.22586872586874</v>
      </c>
      <c r="AF14" s="28">
        <f>'[219]Arc Results'!$I$125</f>
        <v>336.3</v>
      </c>
      <c r="AG14" s="28">
        <f>'[219]Arc Results'!$I$147</f>
        <v>2871.5637065637065</v>
      </c>
      <c r="AH14" s="28">
        <f>'[219]Arc Results'!$I$158</f>
        <v>3252.4362934362953</v>
      </c>
      <c r="AI14" s="28">
        <f>'[219]Arc Results'!$I$213</f>
        <v>5176.8000000000075</v>
      </c>
      <c r="AJ14" s="28">
        <f>'[219]Arc Results'!$I$224</f>
        <v>6327.2000000000007</v>
      </c>
      <c r="AK14" s="28">
        <f>'[219]Arc Results'!$I$180</f>
        <v>3063</v>
      </c>
      <c r="AL14" s="28">
        <f>'[219]Arc Results'!$I$191</f>
        <v>3067</v>
      </c>
      <c r="AM14" s="28">
        <f>'[219]Arc Results'!$I$81</f>
        <v>2314</v>
      </c>
      <c r="AN14" s="28">
        <f>'[219]Arc Results'!$I$81</f>
        <v>2314</v>
      </c>
      <c r="AP14" s="9">
        <f t="shared" si="10"/>
        <v>1</v>
      </c>
      <c r="AQ14" s="9">
        <f t="shared" si="11"/>
        <v>1.0909430535156235</v>
      </c>
      <c r="AR14" s="9">
        <f t="shared" si="12"/>
        <v>1.0435578037071338</v>
      </c>
      <c r="AS14" s="9">
        <f t="shared" si="13"/>
        <v>1.0621934335193646</v>
      </c>
      <c r="AT14" s="9">
        <f t="shared" si="14"/>
        <v>1.0999999999999994</v>
      </c>
      <c r="AU14" s="9">
        <f t="shared" si="15"/>
        <v>1.000652528548124</v>
      </c>
      <c r="AV14" s="9">
        <f t="shared" si="16"/>
        <v>1</v>
      </c>
    </row>
    <row r="15" spans="1:48" ht="15.75">
      <c r="A15">
        <f t="shared" si="17"/>
        <v>11</v>
      </c>
      <c r="B15" s="9">
        <v>2020</v>
      </c>
      <c r="C15" s="9" t="s">
        <v>4</v>
      </c>
      <c r="D15" s="9" t="s">
        <v>5</v>
      </c>
      <c r="E15" s="7" t="s">
        <v>6</v>
      </c>
      <c r="F15" s="20" t="s">
        <v>85</v>
      </c>
      <c r="G15" s="7" t="s">
        <v>8</v>
      </c>
      <c r="H15" s="7" t="s">
        <v>9</v>
      </c>
      <c r="I15" s="9" t="s">
        <v>45</v>
      </c>
      <c r="J15" s="9">
        <v>500</v>
      </c>
      <c r="K15" s="9">
        <v>0.8</v>
      </c>
      <c r="L15" s="28">
        <f>'[220]Arc Results'!$I$10960+'[220]Arc Results'!$I$10971+'[220]Arc Results'!$I$10982+'[220]Arc Results'!$I$10993+'[220]Arc Results'!$I$11004+'[220]Arc Results'!$I$11015+'[220]Arc Results'!$I$11026+'[220]Arc Results'!$I$11037+'[220]Arc Results'!$I$11048+'[220]Arc Results'!$I$11059+'[220]Arc Results'!$I$11070+'[220]Arc Results'!$I$11081+'[220]Arc Results'!$I$11092+'[220]Arc Results'!$I$11103+'[220]Arc Results'!$I$11114+'[220]Arc Results'!$I$11125+'[220]Arc Results'!$I$11136+'[220]Arc Results'!$I$11147+'[220]Arc Results'!$I$11158+'[220]Arc Results'!$I$11169+'[220]Arc Results'!$I$11180+'[220]Arc Results'!$I$11191+'[220]Arc Results'!$I$11202+'[220]Arc Results'!$I$11213+'[220]Arc Results'!$I$11224+'[220]Arc Results'!$I$11235+'[220]Arc Results'!$I$11246+'[220]Arc Results'!$I$11257+'[220]Arc Results'!$I$11268</f>
        <v>3944.90275080129</v>
      </c>
      <c r="M15" s="28">
        <f>'[220]Arc Results'!$I$257</f>
        <v>6165.6637714286035</v>
      </c>
      <c r="N15" s="28">
        <f t="shared" si="1"/>
        <v>5719.3967181467178</v>
      </c>
      <c r="O15" s="28">
        <f t="shared" si="2"/>
        <v>10049.594594594595</v>
      </c>
      <c r="P15" s="28">
        <f t="shared" si="3"/>
        <v>7534.1293436293436</v>
      </c>
      <c r="Q15" s="28">
        <f t="shared" si="4"/>
        <v>2326.9487866314043</v>
      </c>
      <c r="R15" s="28">
        <f t="shared" si="5"/>
        <v>559.02895752895756</v>
      </c>
      <c r="S15" s="28">
        <f t="shared" si="6"/>
        <v>0</v>
      </c>
      <c r="T15" s="28">
        <f t="shared" si="7"/>
        <v>6130</v>
      </c>
      <c r="U15" s="28" t="str">
        <f>[220]Log!$K$2</f>
        <v>328.843.669,94</v>
      </c>
      <c r="V15" s="28" t="str">
        <f>[220]Log!$J$2</f>
        <v>47.021.289,99</v>
      </c>
      <c r="W15" s="28" t="str">
        <f>[220]Log!$N$2</f>
        <v>71.928.700,54</v>
      </c>
      <c r="X15" s="32">
        <f t="shared" si="8"/>
        <v>0</v>
      </c>
      <c r="Y15" s="28"/>
      <c r="Z15" s="33">
        <f t="shared" si="9"/>
        <v>38484.762171959621</v>
      </c>
      <c r="AA15" s="28">
        <f>'[220]Arc Results'!$I$15</f>
        <v>0</v>
      </c>
      <c r="AB15" s="28">
        <f>'[220]Arc Results'!$I$26</f>
        <v>0</v>
      </c>
      <c r="AC15" s="28">
        <f>'[220]Arc Results'!$I$48</f>
        <v>1021.9594043920222</v>
      </c>
      <c r="AD15" s="28">
        <f>'[220]Arc Results'!$I$59</f>
        <v>1304.9893822393822</v>
      </c>
      <c r="AE15" s="28">
        <f>'[220]Arc Results'!$I$114</f>
        <v>263.56370656370655</v>
      </c>
      <c r="AF15" s="28">
        <f>'[220]Arc Results'!$I$125</f>
        <v>295.46525096525096</v>
      </c>
      <c r="AG15" s="28">
        <f>'[220]Arc Results'!$I$147</f>
        <v>2839.9227799227801</v>
      </c>
      <c r="AH15" s="28">
        <f>'[220]Arc Results'!$I$158</f>
        <v>2879.4739382239381</v>
      </c>
      <c r="AI15" s="28">
        <f>'[220]Arc Results'!$I$213</f>
        <v>4848.1081081081084</v>
      </c>
      <c r="AJ15" s="28">
        <f>'[220]Arc Results'!$I$224</f>
        <v>5201.4864864864867</v>
      </c>
      <c r="AK15" s="28">
        <f>'[220]Arc Results'!$I$180</f>
        <v>3063</v>
      </c>
      <c r="AL15" s="28">
        <f>'[220]Arc Results'!$I$191</f>
        <v>3067</v>
      </c>
      <c r="AM15" s="28">
        <f>'[220]Arc Results'!$I$81</f>
        <v>3767.0646718146718</v>
      </c>
      <c r="AN15" s="28">
        <f>'[220]Arc Results'!$I$81</f>
        <v>3767.0646718146718</v>
      </c>
      <c r="AP15" s="9" t="e">
        <f t="shared" si="10"/>
        <v>#DIV/0!</v>
      </c>
      <c r="AQ15" s="9">
        <f t="shared" si="11"/>
        <v>1.1216313738718275</v>
      </c>
      <c r="AR15" s="9">
        <f t="shared" si="12"/>
        <v>1.0570659962635154</v>
      </c>
      <c r="AS15" s="9">
        <f t="shared" si="13"/>
        <v>1.0069152675098878</v>
      </c>
      <c r="AT15" s="9">
        <f t="shared" si="14"/>
        <v>1.0351634461521912</v>
      </c>
      <c r="AU15" s="9">
        <f t="shared" si="15"/>
        <v>1.000652528548124</v>
      </c>
      <c r="AV15" s="9">
        <f t="shared" si="16"/>
        <v>1</v>
      </c>
    </row>
    <row r="16" spans="1:48" ht="15.75">
      <c r="A16">
        <f t="shared" si="17"/>
        <v>12</v>
      </c>
      <c r="B16" s="9">
        <v>2020</v>
      </c>
      <c r="C16" s="9" t="s">
        <v>4</v>
      </c>
      <c r="D16" s="9" t="s">
        <v>5</v>
      </c>
      <c r="E16" s="7" t="s">
        <v>6</v>
      </c>
      <c r="F16" s="20" t="s">
        <v>86</v>
      </c>
      <c r="G16" s="7" t="s">
        <v>8</v>
      </c>
      <c r="H16" s="7" t="s">
        <v>9</v>
      </c>
      <c r="I16" s="9" t="s">
        <v>45</v>
      </c>
      <c r="J16" s="9">
        <v>500</v>
      </c>
      <c r="K16" s="9">
        <v>0.8</v>
      </c>
      <c r="L16" s="28">
        <f>'[221]Arc Results'!$I$10960+'[221]Arc Results'!$I$10971+'[221]Arc Results'!$I$10982+'[221]Arc Results'!$I$10993+'[221]Arc Results'!$I$11004+'[221]Arc Results'!$I$11015+'[221]Arc Results'!$I$11026+'[221]Arc Results'!$I$11037+'[221]Arc Results'!$I$11048+'[221]Arc Results'!$I$11059+'[221]Arc Results'!$I$11070+'[221]Arc Results'!$I$11081+'[221]Arc Results'!$I$11092+'[221]Arc Results'!$I$11103+'[221]Arc Results'!$I$11114+'[221]Arc Results'!$I$11125+'[221]Arc Results'!$I$11136+'[221]Arc Results'!$I$11147+'[221]Arc Results'!$I$11158+'[221]Arc Results'!$I$11169+'[221]Arc Results'!$I$11180+'[221]Arc Results'!$I$11191+'[221]Arc Results'!$I$11202+'[221]Arc Results'!$I$11213+'[221]Arc Results'!$I$11224+'[221]Arc Results'!$I$11235+'[221]Arc Results'!$I$11246+'[221]Arc Results'!$I$11257+'[221]Arc Results'!$I$11268</f>
        <v>4156.7613966023191</v>
      </c>
      <c r="M16" s="28">
        <f>'[221]Arc Results'!$I$257</f>
        <v>6165.6637714285662</v>
      </c>
      <c r="N16" s="28">
        <f t="shared" si="1"/>
        <v>5758.9478764478772</v>
      </c>
      <c r="O16" s="28">
        <f t="shared" si="2"/>
        <v>10402.972972972973</v>
      </c>
      <c r="P16" s="28">
        <f t="shared" si="3"/>
        <v>8405.9681467181472</v>
      </c>
      <c r="Q16" s="28">
        <f t="shared" si="4"/>
        <v>608.29359716859722</v>
      </c>
      <c r="R16" s="28">
        <f t="shared" si="5"/>
        <v>590.93050193050192</v>
      </c>
      <c r="S16" s="28">
        <f t="shared" si="6"/>
        <v>528</v>
      </c>
      <c r="T16" s="28">
        <f t="shared" si="7"/>
        <v>6130</v>
      </c>
      <c r="U16" s="28" t="str">
        <f>[221]Log!$K$2</f>
        <v>331.277.678,08</v>
      </c>
      <c r="V16" s="28" t="str">
        <f>[221]Log!$J$2</f>
        <v>47.021.289,99</v>
      </c>
      <c r="W16" s="28" t="str">
        <f>[221]Log!$N$2</f>
        <v>71.928.700,54</v>
      </c>
      <c r="X16" s="32">
        <f t="shared" si="8"/>
        <v>0</v>
      </c>
      <c r="Y16" s="28"/>
      <c r="Z16" s="33">
        <f t="shared" si="9"/>
        <v>38590.776866666667</v>
      </c>
      <c r="AA16" s="28">
        <f>'[221]Arc Results'!$I$15</f>
        <v>264</v>
      </c>
      <c r="AB16" s="28">
        <f>'[221]Arc Results'!$I$26</f>
        <v>264</v>
      </c>
      <c r="AC16" s="28">
        <f>'[221]Arc Results'!$I$48</f>
        <v>279</v>
      </c>
      <c r="AD16" s="28">
        <f>'[221]Arc Results'!$I$59</f>
        <v>329.29359716859716</v>
      </c>
      <c r="AE16" s="28">
        <f>'[221]Arc Results'!$I$114</f>
        <v>282.70463320463318</v>
      </c>
      <c r="AF16" s="28">
        <f>'[221]Arc Results'!$I$125</f>
        <v>308.22586872586874</v>
      </c>
      <c r="AG16" s="28">
        <f>'[221]Arc Results'!$I$147</f>
        <v>2863.6534749034749</v>
      </c>
      <c r="AH16" s="28">
        <f>'[221]Arc Results'!$I$158</f>
        <v>2895.2944015444018</v>
      </c>
      <c r="AI16" s="28">
        <f>'[221]Arc Results'!$I$213</f>
        <v>5060.135135135135</v>
      </c>
      <c r="AJ16" s="28">
        <f>'[221]Arc Results'!$I$224</f>
        <v>5342.8378378378375</v>
      </c>
      <c r="AK16" s="28">
        <f>'[221]Arc Results'!$I$180</f>
        <v>3063</v>
      </c>
      <c r="AL16" s="28">
        <f>'[221]Arc Results'!$I$191</f>
        <v>3067</v>
      </c>
      <c r="AM16" s="28">
        <f>'[221]Arc Results'!$I$81</f>
        <v>4202.9840733590736</v>
      </c>
      <c r="AN16" s="28">
        <f>'[221]Arc Results'!$I$81</f>
        <v>4202.9840733590736</v>
      </c>
      <c r="AP16" s="9">
        <f t="shared" si="10"/>
        <v>1</v>
      </c>
      <c r="AQ16" s="9">
        <f t="shared" si="11"/>
        <v>1.0826798069266172</v>
      </c>
      <c r="AR16" s="9">
        <f t="shared" si="12"/>
        <v>1.0431882183063161</v>
      </c>
      <c r="AS16" s="9">
        <f t="shared" si="13"/>
        <v>1.0054942200068049</v>
      </c>
      <c r="AT16" s="9">
        <f t="shared" si="14"/>
        <v>1.027175183809202</v>
      </c>
      <c r="AU16" s="9">
        <f t="shared" si="15"/>
        <v>1.000652528548124</v>
      </c>
      <c r="AV16" s="9">
        <f t="shared" si="16"/>
        <v>1</v>
      </c>
    </row>
    <row r="17" spans="1:48" ht="15.75">
      <c r="A17">
        <f t="shared" si="17"/>
        <v>13</v>
      </c>
      <c r="B17" s="9">
        <v>2020</v>
      </c>
      <c r="C17" s="9" t="s">
        <v>4</v>
      </c>
      <c r="D17" s="9" t="s">
        <v>5</v>
      </c>
      <c r="E17" s="7" t="s">
        <v>6</v>
      </c>
      <c r="F17" s="20" t="s">
        <v>87</v>
      </c>
      <c r="G17" s="7" t="s">
        <v>8</v>
      </c>
      <c r="H17" s="7" t="s">
        <v>9</v>
      </c>
      <c r="I17" s="9" t="s">
        <v>45</v>
      </c>
      <c r="J17" s="9">
        <v>500</v>
      </c>
      <c r="K17" s="9">
        <v>0.8</v>
      </c>
      <c r="L17" s="28">
        <f>'[222]Arc Results'!$I$10960+'[222]Arc Results'!$I$10971+'[222]Arc Results'!$I$10982+'[222]Arc Results'!$I$10993+'[222]Arc Results'!$I$11004+'[222]Arc Results'!$I$11015+'[222]Arc Results'!$I$11026+'[222]Arc Results'!$I$11037+'[222]Arc Results'!$I$11048+'[222]Arc Results'!$I$11059+'[222]Arc Results'!$I$11070+'[222]Arc Results'!$I$11081+'[222]Arc Results'!$I$11092+'[222]Arc Results'!$I$11103+'[222]Arc Results'!$I$11114+'[222]Arc Results'!$I$11125+'[222]Arc Results'!$I$11136+'[222]Arc Results'!$I$11147+'[222]Arc Results'!$I$11158+'[222]Arc Results'!$I$11169+'[222]Arc Results'!$I$11180+'[222]Arc Results'!$I$11191+'[222]Arc Results'!$I$11202+'[222]Arc Results'!$I$11213+'[222]Arc Results'!$I$11224+'[222]Arc Results'!$I$11235+'[222]Arc Results'!$I$11246+'[222]Arc Results'!$I$11257+'[222]Arc Results'!$I$11268</f>
        <v>4073.6126928862332</v>
      </c>
      <c r="M17" s="28">
        <f>'[222]Arc Results'!$I$257</f>
        <v>6165.6637714285807</v>
      </c>
      <c r="N17" s="28">
        <f t="shared" si="1"/>
        <v>5711.4864864864867</v>
      </c>
      <c r="O17" s="28">
        <f t="shared" si="2"/>
        <v>9948.734983542603</v>
      </c>
      <c r="P17" s="28">
        <f t="shared" si="3"/>
        <v>7534.1293436293436</v>
      </c>
      <c r="Q17" s="28">
        <f t="shared" si="4"/>
        <v>2247.864864864865</v>
      </c>
      <c r="R17" s="28">
        <f t="shared" si="5"/>
        <v>374</v>
      </c>
      <c r="S17" s="28">
        <f t="shared" si="6"/>
        <v>518.18918918918916</v>
      </c>
      <c r="T17" s="28">
        <f t="shared" si="7"/>
        <v>6130</v>
      </c>
      <c r="U17" s="28" t="str">
        <f>[222]Log!$K$2</f>
        <v>329.247.499,04</v>
      </c>
      <c r="V17" s="28" t="str">
        <f>[222]Log!$J$2</f>
        <v>47.021.289,99</v>
      </c>
      <c r="W17" s="28" t="str">
        <f>[222]Log!$N$2</f>
        <v>71.928.700,54</v>
      </c>
      <c r="X17" s="32">
        <f t="shared" si="8"/>
        <v>0</v>
      </c>
      <c r="Y17" s="28"/>
      <c r="Z17" s="33">
        <f t="shared" si="9"/>
        <v>38630.068639141071</v>
      </c>
      <c r="AA17" s="28">
        <f>'[222]Arc Results'!$I$15</f>
        <v>254.18918918918914</v>
      </c>
      <c r="AB17" s="28">
        <f>'[222]Arc Results'!$I$26</f>
        <v>264</v>
      </c>
      <c r="AC17" s="28">
        <f>'[222]Arc Results'!$I$48</f>
        <v>1003.2277992277992</v>
      </c>
      <c r="AD17" s="28">
        <f>'[222]Arc Results'!$I$59</f>
        <v>1244.6370656370657</v>
      </c>
      <c r="AE17" s="28">
        <f>'[222]Arc Results'!$I$114</f>
        <v>187</v>
      </c>
      <c r="AF17" s="28">
        <f>'[222]Arc Results'!$I$125</f>
        <v>187</v>
      </c>
      <c r="AG17" s="28">
        <f>'[222]Arc Results'!$I$147</f>
        <v>2839.9227799227801</v>
      </c>
      <c r="AH17" s="28">
        <f>'[222]Arc Results'!$I$158</f>
        <v>2871.5637065637065</v>
      </c>
      <c r="AI17" s="28">
        <f>'[222]Arc Results'!$I$213</f>
        <v>4817.9241727317913</v>
      </c>
      <c r="AJ17" s="28">
        <f>'[222]Arc Results'!$I$224</f>
        <v>5130.8108108108108</v>
      </c>
      <c r="AK17" s="28">
        <f>'[222]Arc Results'!$I$180</f>
        <v>3063</v>
      </c>
      <c r="AL17" s="28">
        <f>'[222]Arc Results'!$I$191</f>
        <v>3067</v>
      </c>
      <c r="AM17" s="28">
        <f>'[222]Arc Results'!$I$81</f>
        <v>3767.0646718146718</v>
      </c>
      <c r="AN17" s="28">
        <f>'[222]Arc Results'!$I$81</f>
        <v>3767.0646718146718</v>
      </c>
      <c r="AP17" s="9">
        <f t="shared" si="10"/>
        <v>1.0189328743545611</v>
      </c>
      <c r="AQ17" s="9">
        <f t="shared" si="11"/>
        <v>1.1073949195890738</v>
      </c>
      <c r="AR17" s="9">
        <f t="shared" si="12"/>
        <v>1</v>
      </c>
      <c r="AS17" s="9">
        <f t="shared" si="13"/>
        <v>1.0055398759527472</v>
      </c>
      <c r="AT17" s="9">
        <f t="shared" si="14"/>
        <v>1.031449891729612</v>
      </c>
      <c r="AU17" s="9">
        <f t="shared" si="15"/>
        <v>1.000652528548124</v>
      </c>
      <c r="AV17" s="9">
        <f t="shared" si="16"/>
        <v>1</v>
      </c>
    </row>
    <row r="18" spans="1:48" ht="15.75">
      <c r="A18">
        <f t="shared" si="17"/>
        <v>14</v>
      </c>
      <c r="B18" s="9">
        <v>2020</v>
      </c>
      <c r="C18" s="9" t="s">
        <v>4</v>
      </c>
      <c r="D18" s="9" t="s">
        <v>88</v>
      </c>
      <c r="E18" s="7" t="s">
        <v>6</v>
      </c>
      <c r="F18" s="20" t="s">
        <v>7</v>
      </c>
      <c r="G18" s="7" t="s">
        <v>8</v>
      </c>
      <c r="H18" s="7" t="s">
        <v>9</v>
      </c>
      <c r="I18" s="9" t="s">
        <v>45</v>
      </c>
      <c r="J18" s="9">
        <v>500</v>
      </c>
      <c r="K18" s="9">
        <v>0.8</v>
      </c>
      <c r="L18" s="28">
        <f>'[223]Arc Results'!$I$10960+'[223]Arc Results'!$I$10971+'[223]Arc Results'!$I$10982+'[223]Arc Results'!$I$10993+'[223]Arc Results'!$I$11004+'[223]Arc Results'!$I$11015+'[223]Arc Results'!$I$11026+'[223]Arc Results'!$I$11037+'[223]Arc Results'!$I$11048+'[223]Arc Results'!$I$11059+'[223]Arc Results'!$I$11070+'[223]Arc Results'!$I$11081+'[223]Arc Results'!$I$11092+'[223]Arc Results'!$I$11103+'[223]Arc Results'!$I$11114+'[223]Arc Results'!$I$11125+'[223]Arc Results'!$I$11136+'[223]Arc Results'!$I$11147+'[223]Arc Results'!$I$11158+'[223]Arc Results'!$I$11169+'[223]Arc Results'!$I$11180+'[223]Arc Results'!$I$11191+'[223]Arc Results'!$I$11202+'[223]Arc Results'!$I$11213+'[223]Arc Results'!$I$11224+'[223]Arc Results'!$I$11235+'[223]Arc Results'!$I$11246+'[223]Arc Results'!$I$11257+'[223]Arc Results'!$I$11268</f>
        <v>3273.6919528700892</v>
      </c>
      <c r="M18" s="28">
        <f>'[223]Arc Results'!$I$257</f>
        <v>14299.710171428569</v>
      </c>
      <c r="N18" s="28">
        <f t="shared" si="1"/>
        <v>5588.9783317220517</v>
      </c>
      <c r="O18" s="28">
        <f t="shared" si="2"/>
        <v>8884.8338368580062</v>
      </c>
      <c r="P18" s="28">
        <f t="shared" si="3"/>
        <v>5537.5921450151054</v>
      </c>
      <c r="Q18" s="28">
        <f t="shared" si="4"/>
        <v>1313.5891238670695</v>
      </c>
      <c r="R18" s="28">
        <f t="shared" si="5"/>
        <v>453.87915407854985</v>
      </c>
      <c r="S18" s="28">
        <f t="shared" si="6"/>
        <v>289.30513595166161</v>
      </c>
      <c r="T18" s="28">
        <f t="shared" si="7"/>
        <v>6130</v>
      </c>
      <c r="U18" s="28" t="str">
        <f>[223]Log!$K$2</f>
        <v>340.612.832,91</v>
      </c>
      <c r="V18" s="28" t="str">
        <f>[223]Log!$J$2</f>
        <v>89.447.971,23</v>
      </c>
      <c r="W18" s="28" t="str">
        <f>[223]Log!$N$2</f>
        <v>35.475.755,55</v>
      </c>
      <c r="X18" s="32">
        <f t="shared" si="8"/>
        <v>0</v>
      </c>
      <c r="Y18" s="28"/>
      <c r="Z18" s="33">
        <f t="shared" si="9"/>
        <v>42497.887898921013</v>
      </c>
      <c r="AA18" s="28">
        <f>'[223]Arc Results'!$I$15</f>
        <v>108.48942598187311</v>
      </c>
      <c r="AB18" s="28">
        <f>'[223]Arc Results'!$I$26</f>
        <v>180.81570996978851</v>
      </c>
      <c r="AC18" s="28">
        <f>'[223]Arc Results'!$I$48</f>
        <v>562.34592145015108</v>
      </c>
      <c r="AD18" s="28">
        <f>'[223]Arc Results'!$I$59</f>
        <v>751.24320241691839</v>
      </c>
      <c r="AE18" s="28">
        <f>'[223]Arc Results'!$I$114</f>
        <v>216.95468277945619</v>
      </c>
      <c r="AF18" s="28">
        <f>'[223]Arc Results'!$I$125</f>
        <v>236.92447129909365</v>
      </c>
      <c r="AG18" s="28">
        <f>'[223]Arc Results'!$I$147</f>
        <v>2782.0825613293018</v>
      </c>
      <c r="AH18" s="28">
        <f>'[223]Arc Results'!$I$158</f>
        <v>2806.8957703927495</v>
      </c>
      <c r="AI18" s="28">
        <f>'[223]Arc Results'!$I$213</f>
        <v>4331.8126888217521</v>
      </c>
      <c r="AJ18" s="28">
        <f>'[223]Arc Results'!$I$224</f>
        <v>4553.0211480362541</v>
      </c>
      <c r="AK18" s="28">
        <f>'[223]Arc Results'!$I$180</f>
        <v>3063</v>
      </c>
      <c r="AL18" s="28">
        <f>'[223]Arc Results'!$I$191</f>
        <v>3067.0000000000005</v>
      </c>
      <c r="AM18" s="28">
        <f>'[223]Arc Results'!$I$81</f>
        <v>2768.7960725075527</v>
      </c>
      <c r="AN18" s="28">
        <f>'[223]Arc Results'!$I$81</f>
        <v>2768.7960725075527</v>
      </c>
      <c r="AP18" s="9">
        <f t="shared" si="10"/>
        <v>1.25</v>
      </c>
      <c r="AQ18" s="9">
        <f t="shared" si="11"/>
        <v>1.1438024093947075</v>
      </c>
      <c r="AR18" s="9">
        <f t="shared" si="12"/>
        <v>1.0439980297402718</v>
      </c>
      <c r="AS18" s="9">
        <f t="shared" si="13"/>
        <v>1.0044396681451799</v>
      </c>
      <c r="AT18" s="9">
        <f t="shared" si="14"/>
        <v>1.0248973096488128</v>
      </c>
      <c r="AU18" s="9">
        <f t="shared" si="15"/>
        <v>1.000652528548124</v>
      </c>
      <c r="AV18" s="9">
        <f t="shared" si="16"/>
        <v>1</v>
      </c>
    </row>
    <row r="19" spans="1:48" ht="15.75">
      <c r="A19">
        <f t="shared" si="17"/>
        <v>15</v>
      </c>
      <c r="B19" s="9">
        <v>2020</v>
      </c>
      <c r="C19" s="9" t="s">
        <v>4</v>
      </c>
      <c r="D19" s="9" t="s">
        <v>88</v>
      </c>
      <c r="E19" s="7" t="s">
        <v>6</v>
      </c>
      <c r="F19" s="20" t="s">
        <v>76</v>
      </c>
      <c r="G19" s="7" t="s">
        <v>8</v>
      </c>
      <c r="H19" s="7" t="s">
        <v>9</v>
      </c>
      <c r="I19" s="9" t="s">
        <v>45</v>
      </c>
      <c r="J19" s="9">
        <v>500</v>
      </c>
      <c r="K19" s="9">
        <v>0.8</v>
      </c>
      <c r="L19" s="28">
        <f>'[224]Arc Results'!$I$10960+'[224]Arc Results'!$I$10971+'[224]Arc Results'!$I$10982+'[224]Arc Results'!$I$10993+'[224]Arc Results'!$I$11004+'[224]Arc Results'!$I$11015+'[224]Arc Results'!$I$11026+'[224]Arc Results'!$I$11037+'[224]Arc Results'!$I$11048+'[224]Arc Results'!$I$11059+'[224]Arc Results'!$I$11070+'[224]Arc Results'!$I$11081+'[224]Arc Results'!$I$11092+'[224]Arc Results'!$I$11103+'[224]Arc Results'!$I$11114+'[224]Arc Results'!$I$11125+'[224]Arc Results'!$I$11136+'[224]Arc Results'!$I$11147+'[224]Arc Results'!$I$11158+'[224]Arc Results'!$I$11169+'[224]Arc Results'!$I$11180+'[224]Arc Results'!$I$11191+'[224]Arc Results'!$I$11202+'[224]Arc Results'!$I$11213+'[224]Arc Results'!$I$11224+'[224]Arc Results'!$I$11235+'[224]Arc Results'!$I$11246+'[224]Arc Results'!$I$11257+'[224]Arc Results'!$I$11268</f>
        <v>3072.4157066465277</v>
      </c>
      <c r="M19" s="28">
        <f>'[224]Arc Results'!$I$257</f>
        <v>14299.710171428569</v>
      </c>
      <c r="N19" s="28">
        <f t="shared" si="1"/>
        <v>6123.9999999999982</v>
      </c>
      <c r="O19" s="28">
        <f t="shared" si="2"/>
        <v>8722.7993287009049</v>
      </c>
      <c r="P19" s="28">
        <f t="shared" si="3"/>
        <v>5310.1941087613295</v>
      </c>
      <c r="Q19" s="28">
        <f t="shared" si="4"/>
        <v>1219.1404833836857</v>
      </c>
      <c r="R19" s="28">
        <f t="shared" si="5"/>
        <v>438.90181268882174</v>
      </c>
      <c r="S19" s="28">
        <f t="shared" si="6"/>
        <v>253.1419939577039</v>
      </c>
      <c r="T19" s="28">
        <f t="shared" si="7"/>
        <v>6130</v>
      </c>
      <c r="U19" s="28" t="str">
        <f>[224]Log!$K$2</f>
        <v>323.068.495,17</v>
      </c>
      <c r="V19" s="28" t="str">
        <f>[224]Log!$J$2</f>
        <v>89.447.971,23</v>
      </c>
      <c r="W19" s="28" t="str">
        <f>[224]Log!$N$2</f>
        <v>35.475.755,55</v>
      </c>
      <c r="X19" s="32">
        <f t="shared" si="8"/>
        <v>0</v>
      </c>
      <c r="Y19" s="28"/>
      <c r="Z19" s="33">
        <f t="shared" si="9"/>
        <v>42497.887898921006</v>
      </c>
      <c r="AA19" s="28">
        <f>'[224]Arc Results'!$I$15</f>
        <v>90.407854984894257</v>
      </c>
      <c r="AB19" s="28">
        <f>'[224]Arc Results'!$I$26</f>
        <v>162.73413897280966</v>
      </c>
      <c r="AC19" s="28">
        <f>'[224]Arc Results'!$I$48</f>
        <v>515.1216012084592</v>
      </c>
      <c r="AD19" s="28">
        <f>'[224]Arc Results'!$I$59</f>
        <v>704.01888217522651</v>
      </c>
      <c r="AE19" s="28">
        <f>'[224]Arc Results'!$I$114</f>
        <v>206.96978851963746</v>
      </c>
      <c r="AF19" s="28">
        <f>'[224]Arc Results'!$I$125</f>
        <v>231.93202416918427</v>
      </c>
      <c r="AG19" s="28">
        <f>'[224]Arc Results'!$I$147</f>
        <v>2876.5285120845924</v>
      </c>
      <c r="AH19" s="28">
        <f>'[224]Arc Results'!$I$158</f>
        <v>3247.4714879154062</v>
      </c>
      <c r="AI19" s="28">
        <f>'[224]Arc Results'!$I$213</f>
        <v>4225.0802954682767</v>
      </c>
      <c r="AJ19" s="28">
        <f>'[224]Arc Results'!$I$224</f>
        <v>4497.7190332326281</v>
      </c>
      <c r="AK19" s="28">
        <f>'[224]Arc Results'!$I$180</f>
        <v>3063</v>
      </c>
      <c r="AL19" s="28">
        <f>'[224]Arc Results'!$I$191</f>
        <v>3067</v>
      </c>
      <c r="AM19" s="28">
        <f>'[224]Arc Results'!$I$81</f>
        <v>2655.0970543806648</v>
      </c>
      <c r="AN19" s="28">
        <f>'[224]Arc Results'!$I$81</f>
        <v>2655.0970543806648</v>
      </c>
      <c r="AP19" s="9">
        <f t="shared" si="10"/>
        <v>1.2857142857142858</v>
      </c>
      <c r="AQ19" s="9">
        <f t="shared" si="11"/>
        <v>1.1549429975801384</v>
      </c>
      <c r="AR19" s="9">
        <f t="shared" si="12"/>
        <v>1.056874305204214</v>
      </c>
      <c r="AS19" s="9">
        <f t="shared" si="13"/>
        <v>1.0605720078103877</v>
      </c>
      <c r="AT19" s="9">
        <f t="shared" si="14"/>
        <v>1.0312558764096842</v>
      </c>
      <c r="AU19" s="9">
        <f t="shared" si="15"/>
        <v>1.000652528548124</v>
      </c>
      <c r="AV19" s="9">
        <f t="shared" si="16"/>
        <v>1</v>
      </c>
    </row>
    <row r="20" spans="1:48" ht="15.75">
      <c r="A20">
        <f t="shared" si="17"/>
        <v>16</v>
      </c>
      <c r="B20" s="9">
        <v>2020</v>
      </c>
      <c r="C20" s="9" t="s">
        <v>4</v>
      </c>
      <c r="D20" s="9" t="s">
        <v>88</v>
      </c>
      <c r="E20" s="7" t="s">
        <v>6</v>
      </c>
      <c r="F20" s="20" t="s">
        <v>77</v>
      </c>
      <c r="G20" s="7" t="s">
        <v>8</v>
      </c>
      <c r="H20" s="7" t="s">
        <v>9</v>
      </c>
      <c r="I20" s="9" t="s">
        <v>45</v>
      </c>
      <c r="J20" s="9">
        <v>500</v>
      </c>
      <c r="K20" s="9">
        <v>0.8</v>
      </c>
      <c r="L20" s="28">
        <f>'[225]Arc Results'!$I$10960+'[225]Arc Results'!$I$10971+'[225]Arc Results'!$I$10982+'[225]Arc Results'!$I$10993+'[225]Arc Results'!$I$11004+'[225]Arc Results'!$I$11015+'[225]Arc Results'!$I$11026+'[225]Arc Results'!$I$11037+'[225]Arc Results'!$I$11048+'[225]Arc Results'!$I$11059+'[225]Arc Results'!$I$11070+'[225]Arc Results'!$I$11081+'[225]Arc Results'!$I$11092+'[225]Arc Results'!$I$11103+'[225]Arc Results'!$I$11114+'[225]Arc Results'!$I$11125+'[225]Arc Results'!$I$11136+'[225]Arc Results'!$I$11147+'[225]Arc Results'!$I$11158+'[225]Arc Results'!$I$11169+'[225]Arc Results'!$I$11180+'[225]Arc Results'!$I$11191+'[225]Arc Results'!$I$11202+'[225]Arc Results'!$I$11213+'[225]Arc Results'!$I$11224+'[225]Arc Results'!$I$11235+'[225]Arc Results'!$I$11246+'[225]Arc Results'!$I$11257+'[225]Arc Results'!$I$11268</f>
        <v>3203.3805395770419</v>
      </c>
      <c r="M20" s="28">
        <f>'[225]Arc Results'!$I$257</f>
        <v>14299.710171428562</v>
      </c>
      <c r="N20" s="28">
        <f t="shared" si="1"/>
        <v>5490</v>
      </c>
      <c r="O20" s="28">
        <f t="shared" si="2"/>
        <v>11476.973799999983</v>
      </c>
      <c r="P20" s="28">
        <f t="shared" si="3"/>
        <v>4628</v>
      </c>
      <c r="Q20" s="28">
        <f t="shared" si="4"/>
        <v>558</v>
      </c>
      <c r="R20" s="28">
        <f t="shared" si="5"/>
        <v>374</v>
      </c>
      <c r="S20" s="28">
        <f t="shared" si="6"/>
        <v>0</v>
      </c>
      <c r="T20" s="28">
        <f t="shared" si="7"/>
        <v>6126</v>
      </c>
      <c r="U20" s="28" t="str">
        <f>[225]Log!$K$2</f>
        <v>309.955.281,03</v>
      </c>
      <c r="V20" s="28" t="str">
        <f>[225]Log!$J$2</f>
        <v>89.447.971,23</v>
      </c>
      <c r="W20" s="28" t="str">
        <f>[225]Log!$N$2</f>
        <v>35.475.755,55</v>
      </c>
      <c r="X20" s="32">
        <f t="shared" si="8"/>
        <v>0</v>
      </c>
      <c r="Y20" s="28"/>
      <c r="Z20" s="33">
        <f t="shared" si="9"/>
        <v>42952.683971428545</v>
      </c>
      <c r="AA20" s="28">
        <f>'[225]Arc Results'!$I$15</f>
        <v>0</v>
      </c>
      <c r="AB20" s="28">
        <f>'[225]Arc Results'!$I$26</f>
        <v>0</v>
      </c>
      <c r="AC20" s="28">
        <f>'[225]Arc Results'!$I$48</f>
        <v>279</v>
      </c>
      <c r="AD20" s="28">
        <f>'[225]Arc Results'!$I$59</f>
        <v>279</v>
      </c>
      <c r="AE20" s="28">
        <f>'[225]Arc Results'!$I$114</f>
        <v>187</v>
      </c>
      <c r="AF20" s="28">
        <f>'[225]Arc Results'!$I$125</f>
        <v>187</v>
      </c>
      <c r="AG20" s="28">
        <f>'[225]Arc Results'!$I$147</f>
        <v>2745</v>
      </c>
      <c r="AH20" s="28">
        <f>'[225]Arc Results'!$I$158</f>
        <v>2745</v>
      </c>
      <c r="AI20" s="28">
        <f>'[225]Arc Results'!$I$213</f>
        <v>5175.1699395770393</v>
      </c>
      <c r="AJ20" s="28">
        <f>'[225]Arc Results'!$I$224</f>
        <v>6301.8038604229441</v>
      </c>
      <c r="AK20" s="28">
        <f>'[225]Arc Results'!$I$180</f>
        <v>3063</v>
      </c>
      <c r="AL20" s="28">
        <f>'[225]Arc Results'!$I$191</f>
        <v>3063</v>
      </c>
      <c r="AM20" s="28">
        <f>'[225]Arc Results'!$I$81</f>
        <v>2314</v>
      </c>
      <c r="AN20" s="28">
        <f>'[225]Arc Results'!$I$81</f>
        <v>2314</v>
      </c>
      <c r="AP20" s="9" t="e">
        <f t="shared" si="10"/>
        <v>#DIV/0!</v>
      </c>
      <c r="AQ20" s="9">
        <f t="shared" si="11"/>
        <v>1</v>
      </c>
      <c r="AR20" s="9">
        <f t="shared" si="12"/>
        <v>1</v>
      </c>
      <c r="AS20" s="9">
        <f t="shared" si="13"/>
        <v>1</v>
      </c>
      <c r="AT20" s="9">
        <f t="shared" si="14"/>
        <v>1.0981647201151497</v>
      </c>
      <c r="AU20" s="9">
        <f t="shared" si="15"/>
        <v>1</v>
      </c>
      <c r="AV20" s="9">
        <f t="shared" si="16"/>
        <v>1</v>
      </c>
    </row>
    <row r="21" spans="1:48" ht="15.75">
      <c r="A21">
        <f t="shared" si="17"/>
        <v>17</v>
      </c>
      <c r="B21" s="9">
        <v>2020</v>
      </c>
      <c r="C21" s="9" t="s">
        <v>4</v>
      </c>
      <c r="D21" s="9" t="s">
        <v>88</v>
      </c>
      <c r="E21" s="7" t="s">
        <v>6</v>
      </c>
      <c r="F21" s="20" t="s">
        <v>78</v>
      </c>
      <c r="G21" s="7" t="s">
        <v>8</v>
      </c>
      <c r="H21" s="7" t="s">
        <v>9</v>
      </c>
      <c r="I21" s="9" t="s">
        <v>45</v>
      </c>
      <c r="J21" s="9">
        <v>500</v>
      </c>
      <c r="K21" s="9">
        <v>0.8</v>
      </c>
      <c r="L21" s="28">
        <f>'[226]Arc Results'!$I$10960+'[226]Arc Results'!$I$10971+'[226]Arc Results'!$I$10982+'[226]Arc Results'!$I$10993+'[226]Arc Results'!$I$11004+'[226]Arc Results'!$I$11015+'[226]Arc Results'!$I$11026+'[226]Arc Results'!$I$11037+'[226]Arc Results'!$I$11048+'[226]Arc Results'!$I$11059+'[226]Arc Results'!$I$11070+'[226]Arc Results'!$I$11081+'[226]Arc Results'!$I$11092+'[226]Arc Results'!$I$11103+'[226]Arc Results'!$I$11114+'[226]Arc Results'!$I$11125+'[226]Arc Results'!$I$11136+'[226]Arc Results'!$I$11147+'[226]Arc Results'!$I$11158+'[226]Arc Results'!$I$11169+'[226]Arc Results'!$I$11180+'[226]Arc Results'!$I$11191+'[226]Arc Results'!$I$11202+'[226]Arc Results'!$I$11213+'[226]Arc Results'!$I$11224+'[226]Arc Results'!$I$11235+'[226]Arc Results'!$I$11246+'[226]Arc Results'!$I$11257+'[226]Arc Results'!$I$11268</f>
        <v>3449.4483265861058</v>
      </c>
      <c r="M21" s="28">
        <f>'[226]Arc Results'!$I$257</f>
        <v>14299.710171428562</v>
      </c>
      <c r="N21" s="28">
        <f t="shared" si="1"/>
        <v>5490</v>
      </c>
      <c r="O21" s="28">
        <f t="shared" si="2"/>
        <v>8000</v>
      </c>
      <c r="P21" s="28">
        <f t="shared" si="3"/>
        <v>7470.4754531722056</v>
      </c>
      <c r="Q21" s="28">
        <f t="shared" si="4"/>
        <v>558.00000000000023</v>
      </c>
      <c r="R21" s="28">
        <f t="shared" si="5"/>
        <v>374.00000000000006</v>
      </c>
      <c r="S21" s="28">
        <f t="shared" si="6"/>
        <v>0</v>
      </c>
      <c r="T21" s="28">
        <f t="shared" si="7"/>
        <v>6126</v>
      </c>
      <c r="U21" s="28" t="str">
        <f>[226]Log!$K$2</f>
        <v>318.116.348,55</v>
      </c>
      <c r="V21" s="28" t="str">
        <f>[226]Log!$J$2</f>
        <v>89.447.971,23</v>
      </c>
      <c r="W21" s="28" t="str">
        <f>[226]Log!$N$2</f>
        <v>35.475.755,55</v>
      </c>
      <c r="X21" s="32">
        <f t="shared" si="8"/>
        <v>0</v>
      </c>
      <c r="Y21" s="28"/>
      <c r="Z21" s="33">
        <f t="shared" si="9"/>
        <v>42318.185624600766</v>
      </c>
      <c r="AA21" s="28">
        <f>'[226]Arc Results'!$I$15</f>
        <v>0</v>
      </c>
      <c r="AB21" s="28">
        <f>'[226]Arc Results'!$I$26</f>
        <v>0</v>
      </c>
      <c r="AC21" s="28">
        <f>'[226]Arc Results'!$I$48</f>
        <v>279</v>
      </c>
      <c r="AD21" s="28">
        <f>'[226]Arc Results'!$I$59</f>
        <v>279.00000000000023</v>
      </c>
      <c r="AE21" s="28">
        <f>'[226]Arc Results'!$I$114</f>
        <v>187</v>
      </c>
      <c r="AF21" s="28">
        <f>'[226]Arc Results'!$I$125</f>
        <v>187.00000000000006</v>
      </c>
      <c r="AG21" s="28">
        <f>'[226]Arc Results'!$I$147</f>
        <v>2745</v>
      </c>
      <c r="AH21" s="28">
        <f>'[226]Arc Results'!$I$158</f>
        <v>2745.0000000000005</v>
      </c>
      <c r="AI21" s="28">
        <f>'[226]Arc Results'!$I$213</f>
        <v>4000</v>
      </c>
      <c r="AJ21" s="28">
        <f>'[226]Arc Results'!$I$224</f>
        <v>4000</v>
      </c>
      <c r="AK21" s="28">
        <f>'[226]Arc Results'!$I$180</f>
        <v>3063</v>
      </c>
      <c r="AL21" s="28">
        <f>'[226]Arc Results'!$I$191</f>
        <v>3063.0000000000005</v>
      </c>
      <c r="AM21" s="28">
        <f>'[226]Arc Results'!$I$81</f>
        <v>3735.2377265861028</v>
      </c>
      <c r="AN21" s="28">
        <f>'[226]Arc Results'!$I$81</f>
        <v>3735.2377265861028</v>
      </c>
      <c r="AP21" s="9" t="e">
        <f t="shared" si="10"/>
        <v>#DIV/0!</v>
      </c>
      <c r="AQ21" s="9">
        <f t="shared" si="11"/>
        <v>1.0000000000000004</v>
      </c>
      <c r="AR21" s="9">
        <f t="shared" si="12"/>
        <v>1.0000000000000002</v>
      </c>
      <c r="AS21" s="9">
        <f t="shared" si="13"/>
        <v>1.0000000000000002</v>
      </c>
      <c r="AT21" s="9">
        <f t="shared" si="14"/>
        <v>1</v>
      </c>
      <c r="AU21" s="9">
        <f t="shared" si="15"/>
        <v>1.0000000000000002</v>
      </c>
      <c r="AV21" s="9">
        <f t="shared" si="16"/>
        <v>1</v>
      </c>
    </row>
    <row r="22" spans="1:48" ht="15.75">
      <c r="A22">
        <f t="shared" si="17"/>
        <v>18</v>
      </c>
      <c r="B22" s="9">
        <v>2020</v>
      </c>
      <c r="C22" s="9" t="s">
        <v>4</v>
      </c>
      <c r="D22" s="9" t="s">
        <v>88</v>
      </c>
      <c r="E22" s="7" t="s">
        <v>6</v>
      </c>
      <c r="F22" s="20" t="s">
        <v>79</v>
      </c>
      <c r="G22" s="7" t="s">
        <v>8</v>
      </c>
      <c r="H22" s="7" t="s">
        <v>9</v>
      </c>
      <c r="I22" s="9" t="s">
        <v>45</v>
      </c>
      <c r="J22" s="9">
        <v>500</v>
      </c>
      <c r="K22" s="9">
        <v>0.8</v>
      </c>
      <c r="L22" s="28">
        <f>'[227]Arc Results'!$I$10960+'[227]Arc Results'!$I$10971+'[227]Arc Results'!$I$10982+'[227]Arc Results'!$I$10993+'[227]Arc Results'!$I$11004+'[227]Arc Results'!$I$11015+'[227]Arc Results'!$I$11026+'[227]Arc Results'!$I$11037+'[227]Arc Results'!$I$11048+'[227]Arc Results'!$I$11059+'[227]Arc Results'!$I$11070+'[227]Arc Results'!$I$11081+'[227]Arc Results'!$I$11092+'[227]Arc Results'!$I$11103+'[227]Arc Results'!$I$11114+'[227]Arc Results'!$I$11125+'[227]Arc Results'!$I$11136+'[227]Arc Results'!$I$11147+'[227]Arc Results'!$I$11158+'[227]Arc Results'!$I$11169+'[227]Arc Results'!$I$11180+'[227]Arc Results'!$I$11191+'[227]Arc Results'!$I$11202+'[227]Arc Results'!$I$11213+'[227]Arc Results'!$I$11224+'[227]Arc Results'!$I$11235+'[227]Arc Results'!$I$11246+'[227]Arc Results'!$I$11257+'[227]Arc Results'!$I$11268</f>
        <v>3201.8499504531756</v>
      </c>
      <c r="M22" s="28">
        <f>'[227]Arc Results'!$I$257</f>
        <v>14299.710171428569</v>
      </c>
      <c r="N22" s="28">
        <f t="shared" si="1"/>
        <v>5576.6540785498491</v>
      </c>
      <c r="O22" s="28">
        <f t="shared" si="2"/>
        <v>8829.3714586102687</v>
      </c>
      <c r="P22" s="28">
        <f t="shared" si="3"/>
        <v>5310.1941087613295</v>
      </c>
      <c r="Q22" s="28">
        <f t="shared" si="4"/>
        <v>1266.3648036253776</v>
      </c>
      <c r="R22" s="28">
        <f t="shared" si="5"/>
        <v>443.89425981873109</v>
      </c>
      <c r="S22" s="28">
        <f t="shared" si="6"/>
        <v>528</v>
      </c>
      <c r="T22" s="28">
        <f t="shared" si="7"/>
        <v>6130</v>
      </c>
      <c r="U22" s="28" t="str">
        <f>[227]Log!$K$2</f>
        <v>339.102.521,24</v>
      </c>
      <c r="V22" s="28" t="str">
        <f>[227]Log!$J$2</f>
        <v>89.447.971,23</v>
      </c>
      <c r="W22" s="28" t="str">
        <f>[227]Log!$N$2</f>
        <v>35.475.755,55</v>
      </c>
      <c r="X22" s="32">
        <f t="shared" si="8"/>
        <v>0</v>
      </c>
      <c r="Y22" s="28"/>
      <c r="Z22" s="33">
        <f t="shared" si="9"/>
        <v>42384.188880794121</v>
      </c>
      <c r="AA22" s="28">
        <f>'[227]Arc Results'!$I$15</f>
        <v>264</v>
      </c>
      <c r="AB22" s="28">
        <f>'[227]Arc Results'!$I$26</f>
        <v>264</v>
      </c>
      <c r="AC22" s="28">
        <f>'[227]Arc Results'!$I$48</f>
        <v>515.1216012084592</v>
      </c>
      <c r="AD22" s="28">
        <f>'[227]Arc Results'!$I$59</f>
        <v>751.24320241691839</v>
      </c>
      <c r="AE22" s="28">
        <f>'[227]Arc Results'!$I$114</f>
        <v>211.96223564954681</v>
      </c>
      <c r="AF22" s="28">
        <f>'[227]Arc Results'!$I$125</f>
        <v>231.93202416918427</v>
      </c>
      <c r="AG22" s="28">
        <f>'[227]Arc Results'!$I$147</f>
        <v>2775.9478851963745</v>
      </c>
      <c r="AH22" s="28">
        <f>'[227]Arc Results'!$I$158</f>
        <v>2800.7061933534742</v>
      </c>
      <c r="AI22" s="28">
        <f>'[227]Arc Results'!$I$213</f>
        <v>4276.510574018127</v>
      </c>
      <c r="AJ22" s="28">
        <f>'[227]Arc Results'!$I$224</f>
        <v>4552.8608845921408</v>
      </c>
      <c r="AK22" s="28">
        <f>'[227]Arc Results'!$I$180</f>
        <v>3063</v>
      </c>
      <c r="AL22" s="28">
        <f>'[227]Arc Results'!$I$191</f>
        <v>3067.0000000000005</v>
      </c>
      <c r="AM22" s="28">
        <f>'[227]Arc Results'!$I$81</f>
        <v>2655.0970543806648</v>
      </c>
      <c r="AN22" s="28">
        <f>'[227]Arc Results'!$I$81</f>
        <v>2655.0970543806648</v>
      </c>
      <c r="AP22" s="9">
        <f t="shared" si="10"/>
        <v>1</v>
      </c>
      <c r="AQ22" s="9">
        <f t="shared" si="11"/>
        <v>1.1864562253566153</v>
      </c>
      <c r="AR22" s="9">
        <f t="shared" si="12"/>
        <v>1.0449877151549387</v>
      </c>
      <c r="AS22" s="9">
        <f t="shared" si="13"/>
        <v>1.0044396349151958</v>
      </c>
      <c r="AT22" s="9">
        <f t="shared" si="14"/>
        <v>1.0312989788536442</v>
      </c>
      <c r="AU22" s="9">
        <f t="shared" si="15"/>
        <v>1.000652528548124</v>
      </c>
      <c r="AV22" s="9">
        <f t="shared" si="16"/>
        <v>1</v>
      </c>
    </row>
    <row r="23" spans="1:48" ht="15.75">
      <c r="A23">
        <f t="shared" si="17"/>
        <v>19</v>
      </c>
      <c r="B23" s="9">
        <v>2020</v>
      </c>
      <c r="C23" s="9" t="s">
        <v>4</v>
      </c>
      <c r="D23" s="9" t="s">
        <v>88</v>
      </c>
      <c r="E23" s="7" t="s">
        <v>6</v>
      </c>
      <c r="F23" s="20" t="s">
        <v>80</v>
      </c>
      <c r="G23" s="7" t="s">
        <v>8</v>
      </c>
      <c r="H23" s="7" t="s">
        <v>9</v>
      </c>
      <c r="I23" s="9" t="s">
        <v>45</v>
      </c>
      <c r="J23" s="9">
        <v>500</v>
      </c>
      <c r="K23" s="9">
        <v>0.8</v>
      </c>
      <c r="L23" s="28">
        <f>'[228]Arc Results'!$I$10960+'[228]Arc Results'!$I$10971+'[228]Arc Results'!$I$10982+'[228]Arc Results'!$I$10993+'[228]Arc Results'!$I$11004+'[228]Arc Results'!$I$11015+'[228]Arc Results'!$I$11026+'[228]Arc Results'!$I$11037+'[228]Arc Results'!$I$11048+'[228]Arc Results'!$I$11059+'[228]Arc Results'!$I$11070+'[228]Arc Results'!$I$11081+'[228]Arc Results'!$I$11092+'[228]Arc Results'!$I$11103+'[228]Arc Results'!$I$11114+'[228]Arc Results'!$I$11125+'[228]Arc Results'!$I$11136+'[228]Arc Results'!$I$11147+'[228]Arc Results'!$I$11158+'[228]Arc Results'!$I$11169+'[228]Arc Results'!$I$11180+'[228]Arc Results'!$I$11191+'[228]Arc Results'!$I$11202+'[228]Arc Results'!$I$11213+'[228]Arc Results'!$I$11224+'[228]Arc Results'!$I$11235+'[228]Arc Results'!$I$11246+'[228]Arc Results'!$I$11257+'[228]Arc Results'!$I$11268</f>
        <v>3309.3087957703924</v>
      </c>
      <c r="M23" s="28">
        <f>'[228]Arc Results'!$I$257</f>
        <v>14299.710171428584</v>
      </c>
      <c r="N23" s="28">
        <f t="shared" si="1"/>
        <v>5520.947885196374</v>
      </c>
      <c r="O23" s="28">
        <f t="shared" si="2"/>
        <v>8304.4847516616283</v>
      </c>
      <c r="P23" s="28">
        <f t="shared" si="3"/>
        <v>4628</v>
      </c>
      <c r="Q23" s="28">
        <f t="shared" si="4"/>
        <v>3220</v>
      </c>
      <c r="R23" s="28">
        <f t="shared" si="5"/>
        <v>403.95468277945616</v>
      </c>
      <c r="S23" s="28">
        <f t="shared" si="6"/>
        <v>108.48942598187311</v>
      </c>
      <c r="T23" s="28">
        <f t="shared" si="7"/>
        <v>6126</v>
      </c>
      <c r="U23" s="28" t="str">
        <f>[228]Log!$K$2</f>
        <v>333.061.767,19</v>
      </c>
      <c r="V23" s="28" t="str">
        <f>[228]Log!$J$2</f>
        <v>89.447.971,23</v>
      </c>
      <c r="W23" s="28" t="str">
        <f>[228]Log!$N$2</f>
        <v>35.475.755,55</v>
      </c>
      <c r="X23" s="32">
        <f t="shared" si="8"/>
        <v>0</v>
      </c>
      <c r="Y23" s="28"/>
      <c r="Z23" s="33">
        <f t="shared" si="9"/>
        <v>42611.58691704792</v>
      </c>
      <c r="AA23" s="28">
        <f>'[228]Arc Results'!$I$15</f>
        <v>18.081570996978851</v>
      </c>
      <c r="AB23" s="28">
        <f>'[228]Arc Results'!$I$26</f>
        <v>90.407854984894257</v>
      </c>
      <c r="AC23" s="28">
        <f>'[228]Arc Results'!$I$48</f>
        <v>1509.0500000000002</v>
      </c>
      <c r="AD23" s="28">
        <f>'[228]Arc Results'!$I$59</f>
        <v>1710.95</v>
      </c>
      <c r="AE23" s="28">
        <f>'[228]Arc Results'!$I$114</f>
        <v>191.99244712990935</v>
      </c>
      <c r="AF23" s="28">
        <f>'[228]Arc Results'!$I$125</f>
        <v>211.96223564954681</v>
      </c>
      <c r="AG23" s="28">
        <f>'[228]Arc Results'!$I$147</f>
        <v>2745</v>
      </c>
      <c r="AH23" s="28">
        <f>'[228]Arc Results'!$I$158</f>
        <v>2775.9478851963745</v>
      </c>
      <c r="AI23" s="28">
        <f>'[228]Arc Results'!$I$213</f>
        <v>4027.9741776435017</v>
      </c>
      <c r="AJ23" s="28">
        <f>'[228]Arc Results'!$I$224</f>
        <v>4276.510574018127</v>
      </c>
      <c r="AK23" s="28">
        <f>'[228]Arc Results'!$I$180</f>
        <v>3063</v>
      </c>
      <c r="AL23" s="28">
        <f>'[228]Arc Results'!$I$191</f>
        <v>3063</v>
      </c>
      <c r="AM23" s="28">
        <f>'[228]Arc Results'!$I$81</f>
        <v>2314</v>
      </c>
      <c r="AN23" s="28">
        <f>'[228]Arc Results'!$I$81</f>
        <v>2314</v>
      </c>
      <c r="AP23" s="9">
        <f t="shared" si="10"/>
        <v>1.6666666666666665</v>
      </c>
      <c r="AQ23" s="9">
        <f t="shared" si="11"/>
        <v>1.0627018633540373</v>
      </c>
      <c r="AR23" s="9">
        <f t="shared" si="12"/>
        <v>1.0494357148733444</v>
      </c>
      <c r="AS23" s="9">
        <f t="shared" si="13"/>
        <v>1.0056055383676701</v>
      </c>
      <c r="AT23" s="9">
        <f t="shared" si="14"/>
        <v>1.0299279731141533</v>
      </c>
      <c r="AU23" s="9">
        <f t="shared" si="15"/>
        <v>1</v>
      </c>
      <c r="AV23" s="9">
        <f t="shared" si="16"/>
        <v>1</v>
      </c>
    </row>
    <row r="24" spans="1:48" ht="15.75">
      <c r="A24">
        <f t="shared" si="17"/>
        <v>20</v>
      </c>
      <c r="B24" s="9">
        <v>2020</v>
      </c>
      <c r="C24" s="9" t="s">
        <v>4</v>
      </c>
      <c r="D24" s="9" t="s">
        <v>88</v>
      </c>
      <c r="E24" s="7" t="s">
        <v>6</v>
      </c>
      <c r="F24" s="20" t="s">
        <v>81</v>
      </c>
      <c r="G24" s="7" t="s">
        <v>8</v>
      </c>
      <c r="H24" s="7" t="s">
        <v>9</v>
      </c>
      <c r="I24" s="9" t="s">
        <v>45</v>
      </c>
      <c r="J24" s="9">
        <v>500</v>
      </c>
      <c r="K24" s="9">
        <v>0.8</v>
      </c>
      <c r="L24" s="28">
        <f>'[229]Arc Results'!$I$10960+'[229]Arc Results'!$I$10971+'[229]Arc Results'!$I$10982+'[229]Arc Results'!$I$10993+'[229]Arc Results'!$I$11004+'[229]Arc Results'!$I$11015+'[229]Arc Results'!$I$11026+'[229]Arc Results'!$I$11037+'[229]Arc Results'!$I$11048+'[229]Arc Results'!$I$11059+'[229]Arc Results'!$I$11070+'[229]Arc Results'!$I$11081+'[229]Arc Results'!$I$11092+'[229]Arc Results'!$I$11103+'[229]Arc Results'!$I$11114+'[229]Arc Results'!$I$11125+'[229]Arc Results'!$I$11136+'[229]Arc Results'!$I$11147+'[229]Arc Results'!$I$11158+'[229]Arc Results'!$I$11169+'[229]Arc Results'!$I$11180+'[229]Arc Results'!$I$11191+'[229]Arc Results'!$I$11202+'[229]Arc Results'!$I$11213+'[229]Arc Results'!$I$11224+'[229]Arc Results'!$I$11235+'[229]Arc Results'!$I$11246+'[229]Arc Results'!$I$11257+'[229]Arc Results'!$I$11268</f>
        <v>3174.3164241691848</v>
      </c>
      <c r="M24" s="28">
        <f>'[229]Arc Results'!$I$257</f>
        <v>14299.710171428569</v>
      </c>
      <c r="N24" s="28">
        <f t="shared" si="1"/>
        <v>5582.843655589124</v>
      </c>
      <c r="O24" s="28">
        <f t="shared" si="2"/>
        <v>8829.5317220543802</v>
      </c>
      <c r="P24" s="28">
        <f t="shared" si="3"/>
        <v>5310.1941087613295</v>
      </c>
      <c r="Q24" s="28">
        <f t="shared" si="4"/>
        <v>1288.6856580060396</v>
      </c>
      <c r="R24" s="28">
        <f t="shared" si="5"/>
        <v>672.00000000000023</v>
      </c>
      <c r="S24" s="28">
        <f t="shared" si="6"/>
        <v>271.22356495468279</v>
      </c>
      <c r="T24" s="28">
        <f t="shared" si="7"/>
        <v>6130</v>
      </c>
      <c r="U24" s="28" t="str">
        <f>[229]Log!$K$2</f>
        <v>338.855.372,35</v>
      </c>
      <c r="V24" s="28" t="str">
        <f>[229]Log!$J$2</f>
        <v>89.447.971,23</v>
      </c>
      <c r="W24" s="28" t="str">
        <f>[229]Log!$N$2</f>
        <v>35.475.755,55</v>
      </c>
      <c r="X24" s="32">
        <f t="shared" si="8"/>
        <v>0</v>
      </c>
      <c r="Y24" s="28"/>
      <c r="Z24" s="33">
        <f t="shared" si="9"/>
        <v>42384.188880794129</v>
      </c>
      <c r="AA24" s="28">
        <f>'[229]Arc Results'!$I$15</f>
        <v>90.407854984894257</v>
      </c>
      <c r="AB24" s="28">
        <f>'[229]Arc Results'!$I$26</f>
        <v>180.81570996978851</v>
      </c>
      <c r="AC24" s="28">
        <f>'[229]Arc Results'!$I$48</f>
        <v>537.44245558912121</v>
      </c>
      <c r="AD24" s="28">
        <f>'[229]Arc Results'!$I$59</f>
        <v>751.24320241691839</v>
      </c>
      <c r="AE24" s="28">
        <f>'[229]Arc Results'!$I$114</f>
        <v>335.70000000000016</v>
      </c>
      <c r="AF24" s="28">
        <f>'[229]Arc Results'!$I$125</f>
        <v>336.3</v>
      </c>
      <c r="AG24" s="28">
        <f>'[229]Arc Results'!$I$147</f>
        <v>2775.9478851963745</v>
      </c>
      <c r="AH24" s="28">
        <f>'[229]Arc Results'!$I$158</f>
        <v>2806.8957703927495</v>
      </c>
      <c r="AI24" s="28">
        <f>'[229]Arc Results'!$I$213</f>
        <v>4276.510574018127</v>
      </c>
      <c r="AJ24" s="28">
        <f>'[229]Arc Results'!$I$224</f>
        <v>4553.0211480362541</v>
      </c>
      <c r="AK24" s="28">
        <f>'[229]Arc Results'!$I$180</f>
        <v>3063</v>
      </c>
      <c r="AL24" s="28">
        <f>'[229]Arc Results'!$I$191</f>
        <v>3067</v>
      </c>
      <c r="AM24" s="28">
        <f>'[229]Arc Results'!$I$81</f>
        <v>2655.0970543806648</v>
      </c>
      <c r="AN24" s="28">
        <f>'[229]Arc Results'!$I$81</f>
        <v>2655.0970543806648</v>
      </c>
      <c r="AP24" s="9">
        <f t="shared" si="10"/>
        <v>1.3333333333333333</v>
      </c>
      <c r="AQ24" s="9">
        <f t="shared" si="11"/>
        <v>1.1659060497023046</v>
      </c>
      <c r="AR24" s="9">
        <f t="shared" si="12"/>
        <v>1.0008928571428568</v>
      </c>
      <c r="AS24" s="9">
        <f t="shared" si="13"/>
        <v>1.0055433909859526</v>
      </c>
      <c r="AT24" s="9">
        <f t="shared" si="14"/>
        <v>1.0313165615938</v>
      </c>
      <c r="AU24" s="9">
        <f t="shared" si="15"/>
        <v>1.000652528548124</v>
      </c>
      <c r="AV24" s="9">
        <f t="shared" si="16"/>
        <v>1</v>
      </c>
    </row>
    <row r="25" spans="1:48" ht="15.75">
      <c r="A25">
        <f t="shared" si="17"/>
        <v>21</v>
      </c>
      <c r="B25" s="9">
        <v>2020</v>
      </c>
      <c r="C25" s="9" t="s">
        <v>4</v>
      </c>
      <c r="D25" s="9" t="s">
        <v>88</v>
      </c>
      <c r="E25" s="7" t="s">
        <v>6</v>
      </c>
      <c r="F25" s="20" t="s">
        <v>82</v>
      </c>
      <c r="G25" s="7" t="s">
        <v>8</v>
      </c>
      <c r="H25" s="7" t="s">
        <v>9</v>
      </c>
      <c r="I25" s="9" t="s">
        <v>45</v>
      </c>
      <c r="J25" s="9">
        <v>500</v>
      </c>
      <c r="K25" s="9">
        <v>0.8</v>
      </c>
      <c r="L25" s="28">
        <f>'[230]Arc Results'!$I$10960+'[230]Arc Results'!$I$10971+'[230]Arc Results'!$I$10982+'[230]Arc Results'!$I$10993+'[230]Arc Results'!$I$11004+'[230]Arc Results'!$I$11015+'[230]Arc Results'!$I$11026+'[230]Arc Results'!$I$11037+'[230]Arc Results'!$I$11048+'[230]Arc Results'!$I$11059+'[230]Arc Results'!$I$11070+'[230]Arc Results'!$I$11081+'[230]Arc Results'!$I$11092+'[230]Arc Results'!$I$11103+'[230]Arc Results'!$I$11114+'[230]Arc Results'!$I$11125+'[230]Arc Results'!$I$11136+'[230]Arc Results'!$I$11147+'[230]Arc Results'!$I$11158+'[230]Arc Results'!$I$11169+'[230]Arc Results'!$I$11180+'[230]Arc Results'!$I$11191+'[230]Arc Results'!$I$11202+'[230]Arc Results'!$I$11213+'[230]Arc Results'!$I$11224+'[230]Arc Results'!$I$11235+'[230]Arc Results'!$I$11246+'[230]Arc Results'!$I$11257+'[230]Arc Results'!$I$11268</f>
        <v>3236.6093915407891</v>
      </c>
      <c r="M25" s="28">
        <f>'[230]Arc Results'!$I$257</f>
        <v>14299.710171428565</v>
      </c>
      <c r="N25" s="28">
        <f t="shared" si="1"/>
        <v>5490</v>
      </c>
      <c r="O25" s="28">
        <f t="shared" si="2"/>
        <v>8884.8338368580062</v>
      </c>
      <c r="P25" s="28">
        <f t="shared" si="3"/>
        <v>5537.5921450151054</v>
      </c>
      <c r="Q25" s="28">
        <f t="shared" si="4"/>
        <v>1360.8134441087614</v>
      </c>
      <c r="R25" s="28">
        <f t="shared" si="5"/>
        <v>453.87915407854985</v>
      </c>
      <c r="S25" s="28">
        <f t="shared" si="6"/>
        <v>289.30513595166161</v>
      </c>
      <c r="T25" s="28">
        <f t="shared" si="7"/>
        <v>6130</v>
      </c>
      <c r="U25" s="28" t="str">
        <f>[230]Log!$K$2</f>
        <v>357.044.878,37</v>
      </c>
      <c r="V25" s="28" t="str">
        <f>[230]Log!$J$2</f>
        <v>89.447.971,23</v>
      </c>
      <c r="W25" s="28" t="str">
        <f>[230]Log!$N$2</f>
        <v>35.475.755,55</v>
      </c>
      <c r="X25" s="32">
        <f t="shared" si="8"/>
        <v>0</v>
      </c>
      <c r="Y25" s="28"/>
      <c r="Z25" s="33">
        <f t="shared" si="9"/>
        <v>42446.133887440657</v>
      </c>
      <c r="AA25" s="28">
        <f>'[230]Arc Results'!$I$15</f>
        <v>108.48942598187311</v>
      </c>
      <c r="AB25" s="28">
        <f>'[230]Arc Results'!$I$26</f>
        <v>180.81570996978851</v>
      </c>
      <c r="AC25" s="28">
        <f>'[230]Arc Results'!$I$48</f>
        <v>562.34592145015108</v>
      </c>
      <c r="AD25" s="28">
        <f>'[230]Arc Results'!$I$59</f>
        <v>798.46752265861028</v>
      </c>
      <c r="AE25" s="28">
        <f>'[230]Arc Results'!$I$114</f>
        <v>216.95468277945619</v>
      </c>
      <c r="AF25" s="28">
        <f>'[230]Arc Results'!$I$125</f>
        <v>236.92447129909365</v>
      </c>
      <c r="AG25" s="28">
        <f>'[230]Arc Results'!$I$147</f>
        <v>2745</v>
      </c>
      <c r="AH25" s="28">
        <f>'[230]Arc Results'!$I$158</f>
        <v>2745</v>
      </c>
      <c r="AI25" s="28">
        <f>'[230]Arc Results'!$I$213</f>
        <v>4331.8126888217521</v>
      </c>
      <c r="AJ25" s="28">
        <f>'[230]Arc Results'!$I$224</f>
        <v>4553.0211480362541</v>
      </c>
      <c r="AK25" s="28">
        <f>'[230]Arc Results'!$I$180</f>
        <v>3063</v>
      </c>
      <c r="AL25" s="28">
        <f>'[230]Arc Results'!$I$191</f>
        <v>3067.0000000000005</v>
      </c>
      <c r="AM25" s="28">
        <f>'[230]Arc Results'!$I$81</f>
        <v>2768.7960725075527</v>
      </c>
      <c r="AN25" s="28">
        <f>'[230]Arc Results'!$I$81</f>
        <v>2768.7960725075527</v>
      </c>
      <c r="AP25" s="9">
        <f t="shared" si="10"/>
        <v>1.25</v>
      </c>
      <c r="AQ25" s="9">
        <f t="shared" si="11"/>
        <v>1.1735150414854274</v>
      </c>
      <c r="AR25" s="9">
        <f t="shared" si="12"/>
        <v>1.0439980297402718</v>
      </c>
      <c r="AS25" s="9">
        <f t="shared" si="13"/>
        <v>1</v>
      </c>
      <c r="AT25" s="9">
        <f t="shared" si="14"/>
        <v>1.0248973096488128</v>
      </c>
      <c r="AU25" s="9">
        <f t="shared" si="15"/>
        <v>1.000652528548124</v>
      </c>
      <c r="AV25" s="9">
        <f t="shared" si="16"/>
        <v>1</v>
      </c>
    </row>
    <row r="26" spans="1:48" ht="15.75">
      <c r="A26">
        <f t="shared" si="17"/>
        <v>22</v>
      </c>
      <c r="B26" s="9">
        <v>2020</v>
      </c>
      <c r="C26" s="9" t="s">
        <v>4</v>
      </c>
      <c r="D26" s="9" t="s">
        <v>88</v>
      </c>
      <c r="E26" s="7" t="s">
        <v>6</v>
      </c>
      <c r="F26" s="20" t="s">
        <v>83</v>
      </c>
      <c r="G26" s="7" t="s">
        <v>8</v>
      </c>
      <c r="H26" s="7" t="s">
        <v>9</v>
      </c>
      <c r="I26" s="9" t="s">
        <v>45</v>
      </c>
      <c r="J26" s="9">
        <v>500</v>
      </c>
      <c r="K26" s="9">
        <v>0.8</v>
      </c>
      <c r="L26" s="28">
        <f>'[231]Arc Results'!$I$10960+'[231]Arc Results'!$I$10971+'[231]Arc Results'!$I$10982+'[231]Arc Results'!$I$10993+'[231]Arc Results'!$I$11004+'[231]Arc Results'!$I$11015+'[231]Arc Results'!$I$11026+'[231]Arc Results'!$I$11037+'[231]Arc Results'!$I$11048+'[231]Arc Results'!$I$11059+'[231]Arc Results'!$I$11070+'[231]Arc Results'!$I$11081+'[231]Arc Results'!$I$11092+'[231]Arc Results'!$I$11103+'[231]Arc Results'!$I$11114+'[231]Arc Results'!$I$11125+'[231]Arc Results'!$I$11136+'[231]Arc Results'!$I$11147+'[231]Arc Results'!$I$11158+'[231]Arc Results'!$I$11169+'[231]Arc Results'!$I$11180+'[231]Arc Results'!$I$11191+'[231]Arc Results'!$I$11202+'[231]Arc Results'!$I$11213+'[231]Arc Results'!$I$11224+'[231]Arc Results'!$I$11235+'[231]Arc Results'!$I$11246+'[231]Arc Results'!$I$11257+'[231]Arc Results'!$I$11268</f>
        <v>3322.3080320241734</v>
      </c>
      <c r="M26" s="28">
        <f>'[231]Arc Results'!$I$257</f>
        <v>14299.710171428573</v>
      </c>
      <c r="N26" s="28">
        <f t="shared" si="1"/>
        <v>5613.791540785498</v>
      </c>
      <c r="O26" s="28">
        <f t="shared" si="2"/>
        <v>8000</v>
      </c>
      <c r="P26" s="28">
        <f t="shared" si="3"/>
        <v>5992.388217522659</v>
      </c>
      <c r="Q26" s="28">
        <f t="shared" si="4"/>
        <v>1549.7107250755287</v>
      </c>
      <c r="R26" s="28">
        <f t="shared" si="5"/>
        <v>473.84894259818731</v>
      </c>
      <c r="S26" s="28">
        <f t="shared" si="6"/>
        <v>361.63141993957703</v>
      </c>
      <c r="T26" s="28">
        <f t="shared" si="7"/>
        <v>6130</v>
      </c>
      <c r="U26" s="28" t="str">
        <f>[231]Log!$K$2</f>
        <v>365.024.443,39</v>
      </c>
      <c r="V26" s="28" t="str">
        <f>[231]Log!$J$2</f>
        <v>89.447.971,23</v>
      </c>
      <c r="W26" s="28" t="str">
        <f>[231]Log!$N$2</f>
        <v>35.475.755,55</v>
      </c>
      <c r="X26" s="32">
        <f t="shared" si="8"/>
        <v>0</v>
      </c>
      <c r="Y26" s="28"/>
      <c r="Z26" s="33">
        <f t="shared" si="9"/>
        <v>42421.081017350029</v>
      </c>
      <c r="AA26" s="28">
        <f>'[231]Arc Results'!$I$15</f>
        <v>144.65256797583081</v>
      </c>
      <c r="AB26" s="28">
        <f>'[231]Arc Results'!$I$26</f>
        <v>216.97885196374622</v>
      </c>
      <c r="AC26" s="28">
        <f>'[231]Arc Results'!$I$48</f>
        <v>656.79456193353474</v>
      </c>
      <c r="AD26" s="28">
        <f>'[231]Arc Results'!$I$59</f>
        <v>892.91616314199393</v>
      </c>
      <c r="AE26" s="28">
        <f>'[231]Arc Results'!$I$114</f>
        <v>226.93957703927492</v>
      </c>
      <c r="AF26" s="28">
        <f>'[231]Arc Results'!$I$125</f>
        <v>246.90936555891238</v>
      </c>
      <c r="AG26" s="28">
        <f>'[231]Arc Results'!$I$147</f>
        <v>2794.5166163141994</v>
      </c>
      <c r="AH26" s="28">
        <f>'[231]Arc Results'!$I$158</f>
        <v>2819.2749244712991</v>
      </c>
      <c r="AI26" s="28">
        <f>'[231]Arc Results'!$I$213</f>
        <v>4000</v>
      </c>
      <c r="AJ26" s="28">
        <f>'[231]Arc Results'!$I$224</f>
        <v>4000</v>
      </c>
      <c r="AK26" s="28">
        <f>'[231]Arc Results'!$I$180</f>
        <v>3063</v>
      </c>
      <c r="AL26" s="28">
        <f>'[231]Arc Results'!$I$191</f>
        <v>3067</v>
      </c>
      <c r="AM26" s="28">
        <f>'[231]Arc Results'!$I$81</f>
        <v>2996.1941087613295</v>
      </c>
      <c r="AN26" s="28">
        <f>'[231]Arc Results'!$I$81</f>
        <v>2996.1941087613295</v>
      </c>
      <c r="AP26" s="9">
        <f t="shared" si="10"/>
        <v>1.2</v>
      </c>
      <c r="AQ26" s="9">
        <f t="shared" si="11"/>
        <v>1.1523649526249173</v>
      </c>
      <c r="AR26" s="9">
        <f t="shared" si="12"/>
        <v>1.0421437861824487</v>
      </c>
      <c r="AS26" s="9">
        <f t="shared" si="13"/>
        <v>1.0044102649657054</v>
      </c>
      <c r="AT26" s="9">
        <f t="shared" si="14"/>
        <v>1</v>
      </c>
      <c r="AU26" s="9">
        <f t="shared" si="15"/>
        <v>1.000652528548124</v>
      </c>
      <c r="AV26" s="9">
        <f t="shared" si="16"/>
        <v>1</v>
      </c>
    </row>
    <row r="27" spans="1:48" ht="15.75">
      <c r="A27">
        <f t="shared" si="17"/>
        <v>23</v>
      </c>
      <c r="B27" s="9">
        <v>2020</v>
      </c>
      <c r="C27" s="9" t="s">
        <v>4</v>
      </c>
      <c r="D27" s="9" t="s">
        <v>88</v>
      </c>
      <c r="E27" s="7" t="s">
        <v>6</v>
      </c>
      <c r="F27" s="20" t="s">
        <v>84</v>
      </c>
      <c r="G27" s="7" t="s">
        <v>8</v>
      </c>
      <c r="H27" s="7" t="s">
        <v>9</v>
      </c>
      <c r="I27" s="9" t="s">
        <v>45</v>
      </c>
      <c r="J27" s="9">
        <v>500</v>
      </c>
      <c r="K27" s="9">
        <v>0.8</v>
      </c>
      <c r="L27" s="28">
        <f>'[232]Arc Results'!$I$10960+'[232]Arc Results'!$I$10971+'[232]Arc Results'!$I$10982+'[232]Arc Results'!$I$10993+'[232]Arc Results'!$I$11004+'[232]Arc Results'!$I$11015+'[232]Arc Results'!$I$11026+'[232]Arc Results'!$I$11037+'[232]Arc Results'!$I$11048+'[232]Arc Results'!$I$11059+'[232]Arc Results'!$I$11070+'[232]Arc Results'!$I$11081+'[232]Arc Results'!$I$11092+'[232]Arc Results'!$I$11103+'[232]Arc Results'!$I$11114+'[232]Arc Results'!$I$11125+'[232]Arc Results'!$I$11136+'[232]Arc Results'!$I$11147+'[232]Arc Results'!$I$11158+'[232]Arc Results'!$I$11169+'[232]Arc Results'!$I$11180+'[232]Arc Results'!$I$11191+'[232]Arc Results'!$I$11202+'[232]Arc Results'!$I$11213+'[232]Arc Results'!$I$11224+'[232]Arc Results'!$I$11235+'[232]Arc Results'!$I$11246+'[232]Arc Results'!$I$11257+'[232]Arc Results'!$I$11268</f>
        <v>3471.0705117824787</v>
      </c>
      <c r="M27" s="28">
        <f>'[232]Arc Results'!$I$257</f>
        <v>14299.710171428576</v>
      </c>
      <c r="N27" s="28">
        <f t="shared" si="1"/>
        <v>5650.9290030211487</v>
      </c>
      <c r="O27" s="28">
        <f t="shared" si="2"/>
        <v>9431.0245643504495</v>
      </c>
      <c r="P27" s="28">
        <f t="shared" si="3"/>
        <v>4628</v>
      </c>
      <c r="Q27" s="28">
        <f t="shared" si="4"/>
        <v>1785.8323262839879</v>
      </c>
      <c r="R27" s="28">
        <f t="shared" si="5"/>
        <v>503.80362537764347</v>
      </c>
      <c r="S27" s="28">
        <f t="shared" si="6"/>
        <v>462.89728096676737</v>
      </c>
      <c r="T27" s="28">
        <f t="shared" si="7"/>
        <v>6130</v>
      </c>
      <c r="U27" s="28" t="str">
        <f>[232]Log!$K$2</f>
        <v>355.294.099,54</v>
      </c>
      <c r="V27" s="28" t="str">
        <f>[232]Log!$J$2</f>
        <v>89.447.971,23</v>
      </c>
      <c r="W27" s="28" t="str">
        <f>[232]Log!$N$2</f>
        <v>35.475.755,55</v>
      </c>
      <c r="X27" s="32">
        <f t="shared" si="8"/>
        <v>0</v>
      </c>
      <c r="Y27" s="28"/>
      <c r="Z27" s="33">
        <f t="shared" si="9"/>
        <v>42892.196971428573</v>
      </c>
      <c r="AA27" s="28">
        <f>'[232]Arc Results'!$I$15</f>
        <v>198.89728096676737</v>
      </c>
      <c r="AB27" s="28">
        <f>'[232]Arc Results'!$I$26</f>
        <v>264</v>
      </c>
      <c r="AC27" s="28">
        <f>'[232]Arc Results'!$I$48</f>
        <v>798.46752265861028</v>
      </c>
      <c r="AD27" s="28">
        <f>'[232]Arc Results'!$I$59</f>
        <v>987.36480362537759</v>
      </c>
      <c r="AE27" s="28">
        <f>'[232]Arc Results'!$I$114</f>
        <v>241.916918429003</v>
      </c>
      <c r="AF27" s="28">
        <f>'[232]Arc Results'!$I$125</f>
        <v>261.88670694864049</v>
      </c>
      <c r="AG27" s="28">
        <f>'[232]Arc Results'!$I$147</f>
        <v>2813.0853474320243</v>
      </c>
      <c r="AH27" s="28">
        <f>'[232]Arc Results'!$I$158</f>
        <v>2837.843655589124</v>
      </c>
      <c r="AI27" s="28">
        <f>'[232]Arc Results'!$I$213</f>
        <v>4601.4928422960693</v>
      </c>
      <c r="AJ27" s="28">
        <f>'[232]Arc Results'!$I$224</f>
        <v>4829.5317220543802</v>
      </c>
      <c r="AK27" s="28">
        <f>'[232]Arc Results'!$I$180</f>
        <v>3063</v>
      </c>
      <c r="AL27" s="28">
        <f>'[232]Arc Results'!$I$191</f>
        <v>3067</v>
      </c>
      <c r="AM27" s="28">
        <f>'[232]Arc Results'!$I$81</f>
        <v>2314</v>
      </c>
      <c r="AN27" s="28">
        <f>'[232]Arc Results'!$I$81</f>
        <v>2314</v>
      </c>
      <c r="AP27" s="9">
        <f t="shared" si="10"/>
        <v>1.1406418264053413</v>
      </c>
      <c r="AQ27" s="9">
        <f t="shared" si="11"/>
        <v>1.1057754852942048</v>
      </c>
      <c r="AR27" s="9">
        <f t="shared" si="12"/>
        <v>1.039638040525549</v>
      </c>
      <c r="AS27" s="9">
        <f t="shared" si="13"/>
        <v>1.0043812810502242</v>
      </c>
      <c r="AT27" s="9">
        <f t="shared" si="14"/>
        <v>1.0241796507052165</v>
      </c>
      <c r="AU27" s="9">
        <f t="shared" si="15"/>
        <v>1.000652528548124</v>
      </c>
      <c r="AV27" s="9">
        <f t="shared" si="16"/>
        <v>1</v>
      </c>
    </row>
    <row r="28" spans="1:48" ht="15.75">
      <c r="A28">
        <f t="shared" si="17"/>
        <v>24</v>
      </c>
      <c r="B28" s="9">
        <v>2020</v>
      </c>
      <c r="C28" s="9" t="s">
        <v>4</v>
      </c>
      <c r="D28" s="9" t="s">
        <v>88</v>
      </c>
      <c r="E28" s="7" t="s">
        <v>6</v>
      </c>
      <c r="F28" s="20" t="s">
        <v>85</v>
      </c>
      <c r="G28" s="7" t="s">
        <v>8</v>
      </c>
      <c r="H28" s="7" t="s">
        <v>9</v>
      </c>
      <c r="I28" s="9" t="s">
        <v>45</v>
      </c>
      <c r="J28" s="9">
        <v>500</v>
      </c>
      <c r="K28" s="9">
        <v>0.8</v>
      </c>
      <c r="L28" s="28">
        <f>'[233]Arc Results'!$I$10960+'[233]Arc Results'!$I$10971+'[233]Arc Results'!$I$10982+'[233]Arc Results'!$I$10993+'[233]Arc Results'!$I$11004+'[233]Arc Results'!$I$11015+'[233]Arc Results'!$I$11026+'[233]Arc Results'!$I$11037+'[233]Arc Results'!$I$11048+'[233]Arc Results'!$I$11059+'[233]Arc Results'!$I$11070+'[233]Arc Results'!$I$11081+'[233]Arc Results'!$I$11092+'[233]Arc Results'!$I$11103+'[233]Arc Results'!$I$11114+'[233]Arc Results'!$I$11125+'[233]Arc Results'!$I$11136+'[233]Arc Results'!$I$11147+'[233]Arc Results'!$I$11158+'[233]Arc Results'!$I$11169+'[233]Arc Results'!$I$11180+'[233]Arc Results'!$I$11191+'[233]Arc Results'!$I$11202+'[233]Arc Results'!$I$11213+'[233]Arc Results'!$I$11224+'[233]Arc Results'!$I$11235+'[233]Arc Results'!$I$11246+'[233]Arc Results'!$I$11257+'[233]Arc Results'!$I$11268</f>
        <v>3227.1001854984902</v>
      </c>
      <c r="M28" s="28">
        <f>'[233]Arc Results'!$I$257</f>
        <v>14299.710171428569</v>
      </c>
      <c r="N28" s="28">
        <f t="shared" si="1"/>
        <v>5595.2228096676736</v>
      </c>
      <c r="O28" s="28">
        <f t="shared" si="2"/>
        <v>8940.1359516616321</v>
      </c>
      <c r="P28" s="28">
        <f t="shared" si="3"/>
        <v>5566.8290199395724</v>
      </c>
      <c r="Q28" s="28">
        <f t="shared" si="4"/>
        <v>1408.037764350453</v>
      </c>
      <c r="R28" s="28">
        <f t="shared" si="5"/>
        <v>458.8716012084592</v>
      </c>
      <c r="S28" s="28">
        <f t="shared" si="6"/>
        <v>0</v>
      </c>
      <c r="T28" s="28">
        <f t="shared" si="7"/>
        <v>6130</v>
      </c>
      <c r="U28" s="28" t="str">
        <f>[233]Log!$K$2</f>
        <v>340.807.897,14</v>
      </c>
      <c r="V28" s="28" t="str">
        <f>[233]Log!$J$2</f>
        <v>89.447.971,23</v>
      </c>
      <c r="W28" s="28" t="str">
        <f>[233]Log!$N$2</f>
        <v>35.475.755,55</v>
      </c>
      <c r="X28" s="32">
        <f t="shared" si="8"/>
        <v>0</v>
      </c>
      <c r="Y28" s="28"/>
      <c r="Z28" s="33">
        <f t="shared" si="9"/>
        <v>42398.807318256368</v>
      </c>
      <c r="AA28" s="28">
        <f>'[233]Arc Results'!$I$15</f>
        <v>0</v>
      </c>
      <c r="AB28" s="28">
        <f>'[233]Arc Results'!$I$26</f>
        <v>0</v>
      </c>
      <c r="AC28" s="28">
        <f>'[233]Arc Results'!$I$48</f>
        <v>609.57024169184285</v>
      </c>
      <c r="AD28" s="28">
        <f>'[233]Arc Results'!$I$59</f>
        <v>798.46752265861028</v>
      </c>
      <c r="AE28" s="28">
        <f>'[233]Arc Results'!$I$114</f>
        <v>216.95468277945619</v>
      </c>
      <c r="AF28" s="28">
        <f>'[233]Arc Results'!$I$125</f>
        <v>241.916918429003</v>
      </c>
      <c r="AG28" s="28">
        <f>'[233]Arc Results'!$I$147</f>
        <v>2782.1374622356498</v>
      </c>
      <c r="AH28" s="28">
        <f>'[233]Arc Results'!$I$158</f>
        <v>2813.0853474320243</v>
      </c>
      <c r="AI28" s="28">
        <f>'[233]Arc Results'!$I$213</f>
        <v>4331.8126888217521</v>
      </c>
      <c r="AJ28" s="28">
        <f>'[233]Arc Results'!$I$224</f>
        <v>4608.3232628398791</v>
      </c>
      <c r="AK28" s="28">
        <f>'[233]Arc Results'!$I$180</f>
        <v>3063</v>
      </c>
      <c r="AL28" s="28">
        <f>'[233]Arc Results'!$I$191</f>
        <v>3067.0000000000005</v>
      </c>
      <c r="AM28" s="28">
        <f>'[233]Arc Results'!$I$81</f>
        <v>2783.4145099697862</v>
      </c>
      <c r="AN28" s="28">
        <f>'[233]Arc Results'!$I$81</f>
        <v>2783.4145099697862</v>
      </c>
      <c r="AP28" s="9" t="e">
        <f t="shared" si="10"/>
        <v>#DIV/0!</v>
      </c>
      <c r="AQ28" s="9">
        <f t="shared" si="11"/>
        <v>1.134156402441314</v>
      </c>
      <c r="AR28" s="9">
        <f t="shared" si="12"/>
        <v>1.0543991730667308</v>
      </c>
      <c r="AS28" s="9">
        <f t="shared" si="13"/>
        <v>1.0055311265072235</v>
      </c>
      <c r="AT28" s="9">
        <f t="shared" si="14"/>
        <v>1.0309291240662546</v>
      </c>
      <c r="AU28" s="9">
        <f t="shared" si="15"/>
        <v>1.000652528548124</v>
      </c>
      <c r="AV28" s="9">
        <f t="shared" si="16"/>
        <v>1</v>
      </c>
    </row>
    <row r="29" spans="1:48" ht="15.75">
      <c r="A29">
        <f t="shared" si="17"/>
        <v>25</v>
      </c>
      <c r="B29" s="9">
        <v>2020</v>
      </c>
      <c r="C29" s="9" t="s">
        <v>4</v>
      </c>
      <c r="D29" s="9" t="s">
        <v>88</v>
      </c>
      <c r="E29" s="7" t="s">
        <v>6</v>
      </c>
      <c r="F29" s="20" t="s">
        <v>86</v>
      </c>
      <c r="G29" s="7" t="s">
        <v>8</v>
      </c>
      <c r="H29" s="7" t="s">
        <v>9</v>
      </c>
      <c r="I29" s="9" t="s">
        <v>45</v>
      </c>
      <c r="J29" s="9">
        <v>500</v>
      </c>
      <c r="K29" s="9">
        <v>0.8</v>
      </c>
      <c r="L29" s="28">
        <f>'[234]Arc Results'!$I$10960+'[234]Arc Results'!$I$10971+'[234]Arc Results'!$I$10982+'[234]Arc Results'!$I$10993+'[234]Arc Results'!$I$11004+'[234]Arc Results'!$I$11015+'[234]Arc Results'!$I$11026+'[234]Arc Results'!$I$11037+'[234]Arc Results'!$I$11048+'[234]Arc Results'!$I$11059+'[234]Arc Results'!$I$11070+'[234]Arc Results'!$I$11081+'[234]Arc Results'!$I$11092+'[234]Arc Results'!$I$11103+'[234]Arc Results'!$I$11114+'[234]Arc Results'!$I$11125+'[234]Arc Results'!$I$11136+'[234]Arc Results'!$I$11147+'[234]Arc Results'!$I$11158+'[234]Arc Results'!$I$11169+'[234]Arc Results'!$I$11180+'[234]Arc Results'!$I$11191+'[234]Arc Results'!$I$11202+'[234]Arc Results'!$I$11213+'[234]Arc Results'!$I$11224+'[234]Arc Results'!$I$11235+'[234]Arc Results'!$I$11246+'[234]Arc Results'!$I$11257+'[234]Arc Results'!$I$11268</f>
        <v>3349.4056990936547</v>
      </c>
      <c r="M29" s="28">
        <f>'[234]Arc Results'!$I$257</f>
        <v>14299.710171428575</v>
      </c>
      <c r="N29" s="28">
        <f t="shared" si="1"/>
        <v>5607.6019637462232</v>
      </c>
      <c r="O29" s="28">
        <f t="shared" si="2"/>
        <v>9074.7071836857958</v>
      </c>
      <c r="P29" s="28">
        <f t="shared" si="3"/>
        <v>5992.388217522659</v>
      </c>
      <c r="Q29" s="28">
        <f t="shared" si="4"/>
        <v>558.00000000000091</v>
      </c>
      <c r="R29" s="28">
        <f t="shared" si="5"/>
        <v>473.84894259818731</v>
      </c>
      <c r="S29" s="28">
        <f t="shared" si="6"/>
        <v>361.63141993957703</v>
      </c>
      <c r="T29" s="28">
        <f t="shared" si="7"/>
        <v>6130.0000000000009</v>
      </c>
      <c r="U29" s="28" t="str">
        <f>[234]Log!$K$2</f>
        <v>342.730.759,92</v>
      </c>
      <c r="V29" s="28" t="str">
        <f>[234]Log!$J$2</f>
        <v>89.447.971,23</v>
      </c>
      <c r="W29" s="28" t="str">
        <f>[234]Log!$N$2</f>
        <v>35.475.755,55</v>
      </c>
      <c r="X29" s="32">
        <f t="shared" si="8"/>
        <v>0</v>
      </c>
      <c r="Y29" s="28"/>
      <c r="Z29" s="33">
        <f t="shared" si="9"/>
        <v>42497.887898921021</v>
      </c>
      <c r="AA29" s="28">
        <f>'[234]Arc Results'!$I$15</f>
        <v>144.65256797583081</v>
      </c>
      <c r="AB29" s="28">
        <f>'[234]Arc Results'!$I$26</f>
        <v>216.97885196374622</v>
      </c>
      <c r="AC29" s="28">
        <f>'[234]Arc Results'!$I$48</f>
        <v>279</v>
      </c>
      <c r="AD29" s="28">
        <f>'[234]Arc Results'!$I$59</f>
        <v>279.00000000000097</v>
      </c>
      <c r="AE29" s="28">
        <f>'[234]Arc Results'!$I$114</f>
        <v>226.93957703927492</v>
      </c>
      <c r="AF29" s="28">
        <f>'[234]Arc Results'!$I$125</f>
        <v>246.90936555891238</v>
      </c>
      <c r="AG29" s="28">
        <f>'[234]Arc Results'!$I$147</f>
        <v>2788.3270392749246</v>
      </c>
      <c r="AH29" s="28">
        <f>'[234]Arc Results'!$I$158</f>
        <v>2819.2749244712991</v>
      </c>
      <c r="AI29" s="28">
        <f>'[234]Arc Results'!$I$213</f>
        <v>4411.0818060422916</v>
      </c>
      <c r="AJ29" s="28">
        <f>'[234]Arc Results'!$I$224</f>
        <v>4663.6253776435042</v>
      </c>
      <c r="AK29" s="28">
        <f>'[234]Arc Results'!$I$180</f>
        <v>3063</v>
      </c>
      <c r="AL29" s="28">
        <f>'[234]Arc Results'!$I$191</f>
        <v>3067.0000000000009</v>
      </c>
      <c r="AM29" s="28">
        <f>'[234]Arc Results'!$I$81</f>
        <v>2996.1941087613295</v>
      </c>
      <c r="AN29" s="28">
        <f>'[234]Arc Results'!$I$81</f>
        <v>2996.1941087613295</v>
      </c>
      <c r="AP29" s="9">
        <f t="shared" si="10"/>
        <v>1.2</v>
      </c>
      <c r="AQ29" s="9">
        <f t="shared" si="11"/>
        <v>1.0000000000000018</v>
      </c>
      <c r="AR29" s="9">
        <f t="shared" si="12"/>
        <v>1.0421437861824487</v>
      </c>
      <c r="AS29" s="9">
        <f t="shared" si="13"/>
        <v>1.0055189161777986</v>
      </c>
      <c r="AT29" s="9">
        <f t="shared" si="14"/>
        <v>1.0278293906887956</v>
      </c>
      <c r="AU29" s="9">
        <f t="shared" si="15"/>
        <v>1.000652528548124</v>
      </c>
      <c r="AV29" s="9">
        <f t="shared" si="16"/>
        <v>1</v>
      </c>
    </row>
    <row r="30" spans="1:48" ht="15.75">
      <c r="A30">
        <f t="shared" si="17"/>
        <v>26</v>
      </c>
      <c r="B30" s="9">
        <v>2020</v>
      </c>
      <c r="C30" s="9" t="s">
        <v>4</v>
      </c>
      <c r="D30" s="9" t="s">
        <v>88</v>
      </c>
      <c r="E30" s="7" t="s">
        <v>6</v>
      </c>
      <c r="F30" s="20" t="s">
        <v>87</v>
      </c>
      <c r="G30" s="7" t="s">
        <v>8</v>
      </c>
      <c r="H30" s="7" t="s">
        <v>9</v>
      </c>
      <c r="I30" s="9" t="s">
        <v>45</v>
      </c>
      <c r="J30" s="9">
        <v>500</v>
      </c>
      <c r="K30" s="9">
        <v>0.8</v>
      </c>
      <c r="L30" s="28">
        <f>'[235]Arc Results'!$I$10960+'[235]Arc Results'!$I$10971+'[235]Arc Results'!$I$10982+'[235]Arc Results'!$I$10993+'[235]Arc Results'!$I$11004+'[235]Arc Results'!$I$11015+'[235]Arc Results'!$I$11026+'[235]Arc Results'!$I$11037+'[235]Arc Results'!$I$11048+'[235]Arc Results'!$I$11059+'[235]Arc Results'!$I$11070+'[235]Arc Results'!$I$11081+'[235]Arc Results'!$I$11092+'[235]Arc Results'!$I$11103+'[235]Arc Results'!$I$11114+'[235]Arc Results'!$I$11125+'[235]Arc Results'!$I$11136+'[235]Arc Results'!$I$11147+'[235]Arc Results'!$I$11158+'[235]Arc Results'!$I$11169+'[235]Arc Results'!$I$11180+'[235]Arc Results'!$I$11191+'[235]Arc Results'!$I$11202+'[235]Arc Results'!$I$11213+'[235]Arc Results'!$I$11224+'[235]Arc Results'!$I$11235+'[235]Arc Results'!$I$11246+'[235]Arc Results'!$I$11257+'[235]Arc Results'!$I$11268</f>
        <v>3243.792170996981</v>
      </c>
      <c r="M30" s="28">
        <f>'[235]Arc Results'!$I$257</f>
        <v>14299.710171428569</v>
      </c>
      <c r="N30" s="28">
        <f t="shared" si="1"/>
        <v>5589.0332326283988</v>
      </c>
      <c r="O30" s="28">
        <f t="shared" si="2"/>
        <v>8884.8338368580062</v>
      </c>
      <c r="P30" s="28">
        <f t="shared" si="3"/>
        <v>5537.5921450151054</v>
      </c>
      <c r="Q30" s="28">
        <f t="shared" si="4"/>
        <v>1360.8134441087614</v>
      </c>
      <c r="R30" s="28">
        <f t="shared" si="5"/>
        <v>374</v>
      </c>
      <c r="S30" s="28">
        <f t="shared" si="6"/>
        <v>289.30513595166161</v>
      </c>
      <c r="T30" s="28">
        <f t="shared" si="7"/>
        <v>6130</v>
      </c>
      <c r="U30" s="28" t="str">
        <f>[235]Log!$K$2</f>
        <v>341.789.350,20</v>
      </c>
      <c r="V30" s="28" t="str">
        <f>[235]Log!$J$2</f>
        <v>89.447.971,23</v>
      </c>
      <c r="W30" s="28" t="str">
        <f>[235]Log!$N$2</f>
        <v>35.475.755,55</v>
      </c>
      <c r="X30" s="32">
        <f t="shared" si="8"/>
        <v>0</v>
      </c>
      <c r="Y30" s="28"/>
      <c r="Z30" s="33">
        <f t="shared" si="9"/>
        <v>42465.287965990501</v>
      </c>
      <c r="AA30" s="28">
        <f>'[235]Arc Results'!$I$15</f>
        <v>108.48942598187311</v>
      </c>
      <c r="AB30" s="28">
        <f>'[235]Arc Results'!$I$26</f>
        <v>180.81570996978851</v>
      </c>
      <c r="AC30" s="28">
        <f>'[235]Arc Results'!$I$48</f>
        <v>562.34592145015108</v>
      </c>
      <c r="AD30" s="28">
        <f>'[235]Arc Results'!$I$59</f>
        <v>798.46752265861028</v>
      </c>
      <c r="AE30" s="28">
        <f>'[235]Arc Results'!$I$114</f>
        <v>187</v>
      </c>
      <c r="AF30" s="28">
        <f>'[235]Arc Results'!$I$125</f>
        <v>187</v>
      </c>
      <c r="AG30" s="28">
        <f>'[235]Arc Results'!$I$147</f>
        <v>2782.1374622356498</v>
      </c>
      <c r="AH30" s="28">
        <f>'[235]Arc Results'!$I$158</f>
        <v>2806.8957703927495</v>
      </c>
      <c r="AI30" s="28">
        <f>'[235]Arc Results'!$I$213</f>
        <v>4331.8126888217521</v>
      </c>
      <c r="AJ30" s="28">
        <f>'[235]Arc Results'!$I$224</f>
        <v>4553.0211480362541</v>
      </c>
      <c r="AK30" s="28">
        <f>'[235]Arc Results'!$I$180</f>
        <v>3063</v>
      </c>
      <c r="AL30" s="28">
        <f>'[235]Arc Results'!$I$191</f>
        <v>3067.0000000000005</v>
      </c>
      <c r="AM30" s="28">
        <f>'[235]Arc Results'!$I$81</f>
        <v>2768.7960725075527</v>
      </c>
      <c r="AN30" s="28">
        <f>'[235]Arc Results'!$I$81</f>
        <v>2768.7960725075527</v>
      </c>
      <c r="AP30" s="9">
        <f t="shared" si="10"/>
        <v>1.25</v>
      </c>
      <c r="AQ30" s="9">
        <f t="shared" si="11"/>
        <v>1.1735150414854274</v>
      </c>
      <c r="AR30" s="9">
        <f t="shared" si="12"/>
        <v>1</v>
      </c>
      <c r="AS30" s="9">
        <f t="shared" si="13"/>
        <v>1.0044298015643498</v>
      </c>
      <c r="AT30" s="9">
        <f t="shared" si="14"/>
        <v>1.0248973096488128</v>
      </c>
      <c r="AU30" s="9">
        <f t="shared" si="15"/>
        <v>1.000652528548124</v>
      </c>
      <c r="AV30" s="9">
        <f t="shared" si="16"/>
        <v>1</v>
      </c>
    </row>
    <row r="31" spans="1:48" ht="15.75">
      <c r="A31">
        <f t="shared" si="17"/>
        <v>27</v>
      </c>
      <c r="B31" s="9">
        <v>2020</v>
      </c>
      <c r="C31" s="9" t="s">
        <v>89</v>
      </c>
      <c r="D31" s="9" t="s">
        <v>5</v>
      </c>
      <c r="E31" s="7" t="s">
        <v>6</v>
      </c>
      <c r="F31" s="20" t="s">
        <v>7</v>
      </c>
      <c r="G31" s="7" t="s">
        <v>8</v>
      </c>
      <c r="H31" s="7" t="s">
        <v>9</v>
      </c>
      <c r="I31" s="9" t="s">
        <v>45</v>
      </c>
      <c r="J31" s="9">
        <v>500</v>
      </c>
      <c r="K31" s="9">
        <v>0.8</v>
      </c>
      <c r="L31" s="28">
        <f>'[236]Arc Results'!$I$10960+'[236]Arc Results'!$I$10971+'[236]Arc Results'!$I$10982+'[236]Arc Results'!$I$10993+'[236]Arc Results'!$I$11004+'[236]Arc Results'!$I$11015+'[236]Arc Results'!$I$11026+'[236]Arc Results'!$I$11037+'[236]Arc Results'!$I$11048+'[236]Arc Results'!$I$11059+'[236]Arc Results'!$I$11070+'[236]Arc Results'!$I$11081+'[236]Arc Results'!$I$11092+'[236]Arc Results'!$I$11103+'[236]Arc Results'!$I$11114+'[236]Arc Results'!$I$11125+'[236]Arc Results'!$I$11136+'[236]Arc Results'!$I$11147+'[236]Arc Results'!$I$11158+'[236]Arc Results'!$I$11169+'[236]Arc Results'!$I$11180+'[236]Arc Results'!$I$11191+'[236]Arc Results'!$I$11202+'[236]Arc Results'!$I$11213+'[236]Arc Results'!$I$11224+'[236]Arc Results'!$I$11235+'[236]Arc Results'!$I$11246+'[236]Arc Results'!$I$11257+'[236]Arc Results'!$I$11268</f>
        <v>3935.8572143629362</v>
      </c>
      <c r="M31" s="28">
        <f>'[236]Arc Results'!$I$257</f>
        <v>6165.6514285714447</v>
      </c>
      <c r="N31" s="28">
        <f t="shared" si="1"/>
        <v>5703.5762548262555</v>
      </c>
      <c r="O31" s="28">
        <f t="shared" si="2"/>
        <v>9908.2432432432433</v>
      </c>
      <c r="P31" s="28">
        <f t="shared" si="3"/>
        <v>7307.4085760536291</v>
      </c>
      <c r="Q31" s="28">
        <f t="shared" si="4"/>
        <v>2247.864864864865</v>
      </c>
      <c r="R31" s="28">
        <f t="shared" si="5"/>
        <v>546.26833976833973</v>
      </c>
      <c r="S31" s="28">
        <f t="shared" si="6"/>
        <v>589.18918918918916</v>
      </c>
      <c r="T31" s="28">
        <f t="shared" si="7"/>
        <v>6130</v>
      </c>
      <c r="U31" s="28" t="str">
        <f>[236]Log!$K$2</f>
        <v>326.651.341,75</v>
      </c>
      <c r="V31" s="28" t="str">
        <f>[236]Log!$J$2</f>
        <v>47.021.195,86</v>
      </c>
      <c r="W31" s="28" t="str">
        <f>[236]Log!$N$2</f>
        <v>71.948.395,79</v>
      </c>
      <c r="X31" s="32">
        <f t="shared" si="8"/>
        <v>0</v>
      </c>
      <c r="Y31" s="28"/>
      <c r="Z31" s="33">
        <f t="shared" si="9"/>
        <v>38598.20189651697</v>
      </c>
      <c r="AA31" s="28">
        <f>'[236]Arc Results'!$I$15</f>
        <v>254.18918918918914</v>
      </c>
      <c r="AB31" s="28">
        <f>'[236]Arc Results'!$I$26</f>
        <v>335</v>
      </c>
      <c r="AC31" s="28">
        <f>'[236]Arc Results'!$I$48</f>
        <v>1003.2277992277992</v>
      </c>
      <c r="AD31" s="28">
        <f>'[236]Arc Results'!$I$59</f>
        <v>1244.6370656370657</v>
      </c>
      <c r="AE31" s="28">
        <f>'[236]Arc Results'!$I$114</f>
        <v>257.18339768339769</v>
      </c>
      <c r="AF31" s="28">
        <f>'[236]Arc Results'!$I$125</f>
        <v>289.0849420849421</v>
      </c>
      <c r="AG31" s="28">
        <f>'[236]Arc Results'!$I$147</f>
        <v>2832.0125482625485</v>
      </c>
      <c r="AH31" s="28">
        <f>'[236]Arc Results'!$I$158</f>
        <v>2871.5637065637065</v>
      </c>
      <c r="AI31" s="28">
        <f>'[236]Arc Results'!$I$213</f>
        <v>4777.4324324324325</v>
      </c>
      <c r="AJ31" s="28">
        <f>'[236]Arc Results'!$I$224</f>
        <v>5130.8108108108108</v>
      </c>
      <c r="AK31" s="28">
        <f>'[236]Arc Results'!$I$180</f>
        <v>3063</v>
      </c>
      <c r="AL31" s="28">
        <f>'[236]Arc Results'!$I$191</f>
        <v>3066.9999999999995</v>
      </c>
      <c r="AM31" s="28">
        <f>'[236]Arc Results'!$I$81</f>
        <v>3653.7042880268145</v>
      </c>
      <c r="AN31" s="28">
        <f>'[236]Arc Results'!$I$81</f>
        <v>3653.7042880268145</v>
      </c>
      <c r="AP31" s="9">
        <f t="shared" si="10"/>
        <v>1.1371559633027524</v>
      </c>
      <c r="AQ31" s="9">
        <f t="shared" si="11"/>
        <v>1.1073949195890738</v>
      </c>
      <c r="AR31" s="9">
        <f t="shared" si="12"/>
        <v>1.0583990359299849</v>
      </c>
      <c r="AS31" s="9">
        <f t="shared" si="13"/>
        <v>1.0069344489376626</v>
      </c>
      <c r="AT31" s="9">
        <f t="shared" si="14"/>
        <v>1.0356650891286261</v>
      </c>
      <c r="AU31" s="9">
        <f t="shared" si="15"/>
        <v>1.0006525285481238</v>
      </c>
      <c r="AV31" s="9">
        <f t="shared" si="16"/>
        <v>1</v>
      </c>
    </row>
    <row r="32" spans="1:48" ht="15.75">
      <c r="A32">
        <f t="shared" si="17"/>
        <v>28</v>
      </c>
      <c r="B32" s="9">
        <v>2020</v>
      </c>
      <c r="C32" s="9" t="s">
        <v>89</v>
      </c>
      <c r="D32" s="9" t="s">
        <v>5</v>
      </c>
      <c r="E32" s="7" t="s">
        <v>6</v>
      </c>
      <c r="F32" s="20" t="s">
        <v>76</v>
      </c>
      <c r="G32" s="7" t="s">
        <v>8</v>
      </c>
      <c r="H32" s="7" t="s">
        <v>9</v>
      </c>
      <c r="I32" s="9" t="s">
        <v>45</v>
      </c>
      <c r="J32" s="9">
        <v>500</v>
      </c>
      <c r="K32" s="9">
        <v>0.8</v>
      </c>
      <c r="L32" s="21">
        <f>'[237]Arc Results'!$I$10960+'[237]Arc Results'!$I$10971+'[237]Arc Results'!$I$10982+'[237]Arc Results'!$I$10993+'[237]Arc Results'!$I$11004+'[237]Arc Results'!$I$11015+'[237]Arc Results'!$I$11026+'[237]Arc Results'!$I$11037+'[237]Arc Results'!$I$11048+'[237]Arc Results'!$I$11059+'[237]Arc Results'!$I$11070+'[237]Arc Results'!$I$11081+'[237]Arc Results'!$I$11092+'[237]Arc Results'!$I$11103+'[237]Arc Results'!$I$11114+'[237]Arc Results'!$I$11125+'[237]Arc Results'!$I$11136+'[237]Arc Results'!$I$11147+'[237]Arc Results'!$I$11158+'[237]Arc Results'!$I$11169+'[237]Arc Results'!$I$11180+'[237]Arc Results'!$I$11191+'[237]Arc Results'!$I$11202+'[237]Arc Results'!$I$11213+'[237]Arc Results'!$I$11224+'[237]Arc Results'!$I$11235+'[237]Arc Results'!$I$11246+'[237]Arc Results'!$I$11257+'[237]Arc Results'!$I$11268</f>
        <v>3829.789164169888</v>
      </c>
      <c r="M32" s="21">
        <f>'[237]Arc Results'!$I$257</f>
        <v>6165.6514285714265</v>
      </c>
      <c r="N32" s="21">
        <f t="shared" si="1"/>
        <v>6123.9999999999945</v>
      </c>
      <c r="O32" s="21">
        <f t="shared" si="2"/>
        <v>9821.6454077179351</v>
      </c>
      <c r="P32" s="22">
        <f t="shared" si="3"/>
        <v>7243.516409266409</v>
      </c>
      <c r="Q32" s="22">
        <f t="shared" si="4"/>
        <v>2127.1602316602316</v>
      </c>
      <c r="R32" s="22">
        <f t="shared" si="5"/>
        <v>533.50772200772201</v>
      </c>
      <c r="S32" s="22">
        <f t="shared" si="6"/>
        <v>566.08108108108104</v>
      </c>
      <c r="T32" s="22">
        <f t="shared" si="7"/>
        <v>6130</v>
      </c>
      <c r="U32" s="21" t="str">
        <f>[237]Log!$K$2</f>
        <v>312.414.744,15</v>
      </c>
      <c r="V32" s="21" t="str">
        <f>[237]Log!$J$2</f>
        <v>47.021.195,86</v>
      </c>
      <c r="W32" s="21" t="str">
        <f>[237]Log!$N$2</f>
        <v>71.948.395,79</v>
      </c>
      <c r="X32" s="23">
        <f t="shared" si="8"/>
        <v>0</v>
      </c>
      <c r="Y32" s="22"/>
      <c r="Z32" s="24">
        <f t="shared" si="9"/>
        <v>38711.562280304803</v>
      </c>
      <c r="AA32" s="22">
        <f>'[237]Arc Results'!$I$15</f>
        <v>231.08108108108104</v>
      </c>
      <c r="AB32" s="22">
        <f>'[237]Arc Results'!$I$26</f>
        <v>335</v>
      </c>
      <c r="AC32" s="22">
        <f>'[237]Arc Results'!$I$48</f>
        <v>942.87548262548262</v>
      </c>
      <c r="AD32" s="22">
        <f>'[237]Arc Results'!$I$59</f>
        <v>1184.284749034749</v>
      </c>
      <c r="AE32" s="22">
        <f>'[237]Arc Results'!$I$114</f>
        <v>250.8030888030888</v>
      </c>
      <c r="AF32" s="22">
        <f>'[237]Arc Results'!$I$125</f>
        <v>282.70463320463318</v>
      </c>
      <c r="AG32" s="22">
        <f>'[237]Arc Results'!$I$147</f>
        <v>2863.6534749034749</v>
      </c>
      <c r="AH32" s="22">
        <f>'[237]Arc Results'!$I$158</f>
        <v>3260.3465250965201</v>
      </c>
      <c r="AI32" s="22">
        <f>'[237]Arc Results'!$I$213</f>
        <v>4761.5102725828001</v>
      </c>
      <c r="AJ32" s="22">
        <f>'[237]Arc Results'!$I$224</f>
        <v>5060.135135135135</v>
      </c>
      <c r="AK32" s="22">
        <f>'[237]Arc Results'!$I$180</f>
        <v>3063</v>
      </c>
      <c r="AL32" s="22">
        <f>'[237]Arc Results'!$I$191</f>
        <v>3067</v>
      </c>
      <c r="AM32" s="22">
        <f>'[237]Arc Results'!$I$81</f>
        <v>3621.7582046332045</v>
      </c>
      <c r="AN32" s="22">
        <f>'[237]Arc Results'!$I$81</f>
        <v>3621.7582046332045</v>
      </c>
      <c r="AP32" s="9">
        <f t="shared" si="10"/>
        <v>1.1835760324659825</v>
      </c>
      <c r="AQ32" s="9">
        <f t="shared" si="11"/>
        <v>1.1134889900705074</v>
      </c>
      <c r="AR32" s="9">
        <f t="shared" si="12"/>
        <v>1.0597958437817749</v>
      </c>
      <c r="AS32" s="9">
        <f t="shared" si="13"/>
        <v>1.064776788078551</v>
      </c>
      <c r="AT32" s="9">
        <f t="shared" si="14"/>
        <v>1.0304047692780349</v>
      </c>
      <c r="AU32" s="9">
        <f t="shared" si="15"/>
        <v>1.000652528548124</v>
      </c>
      <c r="AV32" s="9">
        <f t="shared" si="16"/>
        <v>1</v>
      </c>
    </row>
    <row r="33" spans="1:48" ht="15.75">
      <c r="A33">
        <f t="shared" si="17"/>
        <v>29</v>
      </c>
      <c r="B33" s="9">
        <v>2020</v>
      </c>
      <c r="C33" s="9" t="s">
        <v>89</v>
      </c>
      <c r="D33" s="9" t="s">
        <v>5</v>
      </c>
      <c r="E33" s="7" t="s">
        <v>6</v>
      </c>
      <c r="F33" s="20" t="s">
        <v>77</v>
      </c>
      <c r="G33" s="7" t="s">
        <v>8</v>
      </c>
      <c r="H33" s="7" t="s">
        <v>9</v>
      </c>
      <c r="I33" s="9" t="s">
        <v>45</v>
      </c>
      <c r="J33" s="9">
        <v>500</v>
      </c>
      <c r="K33" s="9">
        <v>0.8</v>
      </c>
      <c r="L33" s="21">
        <f>'[238]Arc Results'!$I$10960+'[238]Arc Results'!$I$10971+'[238]Arc Results'!$I$10982+'[238]Arc Results'!$I$10993+'[238]Arc Results'!$I$11004+'[238]Arc Results'!$I$11015+'[238]Arc Results'!$I$11026+'[238]Arc Results'!$I$11037+'[238]Arc Results'!$I$11048+'[238]Arc Results'!$I$11059+'[238]Arc Results'!$I$11070+'[238]Arc Results'!$I$11081+'[238]Arc Results'!$I$11092+'[238]Arc Results'!$I$11103+'[238]Arc Results'!$I$11114+'[238]Arc Results'!$I$11125+'[238]Arc Results'!$I$11136+'[238]Arc Results'!$I$11147+'[238]Arc Results'!$I$11158+'[238]Arc Results'!$I$11169+'[238]Arc Results'!$I$11180+'[238]Arc Results'!$I$11191+'[238]Arc Results'!$I$11202+'[238]Arc Results'!$I$11213+'[238]Arc Results'!$I$11224+'[238]Arc Results'!$I$11235+'[238]Arc Results'!$I$11246+'[238]Arc Results'!$I$11257+'[238]Arc Results'!$I$11268</f>
        <v>3487.5445650965175</v>
      </c>
      <c r="M33" s="21">
        <f>'[238]Arc Results'!$I$257</f>
        <v>6165.6514285714393</v>
      </c>
      <c r="N33" s="21">
        <f t="shared" si="1"/>
        <v>5648.2046332046339</v>
      </c>
      <c r="O33" s="21">
        <f t="shared" si="2"/>
        <v>11503.999999999989</v>
      </c>
      <c r="P33" s="22">
        <f t="shared" si="3"/>
        <v>6371.6776061776063</v>
      </c>
      <c r="Q33" s="22">
        <f t="shared" si="4"/>
        <v>1809.1633249420925</v>
      </c>
      <c r="R33" s="22">
        <f t="shared" si="5"/>
        <v>501.6061776061776</v>
      </c>
      <c r="S33" s="22">
        <f t="shared" si="6"/>
        <v>462.16216216216208</v>
      </c>
      <c r="T33" s="22">
        <f t="shared" si="7"/>
        <v>6130</v>
      </c>
      <c r="U33" s="21" t="str">
        <f>[238]Log!$K$2</f>
        <v>300.030.251,95</v>
      </c>
      <c r="V33" s="21" t="str">
        <f>[238]Log!$J$2</f>
        <v>47.021.195,86</v>
      </c>
      <c r="W33" s="21" t="str">
        <f>[238]Log!$N$2</f>
        <v>71.948.395,79</v>
      </c>
      <c r="X33" s="23">
        <f t="shared" si="8"/>
        <v>0</v>
      </c>
      <c r="Y33" s="22"/>
      <c r="Z33" s="24">
        <f t="shared" si="9"/>
        <v>38592.465332664098</v>
      </c>
      <c r="AA33" s="22">
        <f>'[238]Arc Results'!$I$15</f>
        <v>184.86486486486484</v>
      </c>
      <c r="AB33" s="22">
        <f>'[238]Arc Results'!$I$26</f>
        <v>277.29729729729723</v>
      </c>
      <c r="AC33" s="22">
        <f>'[238]Arc Results'!$I$48</f>
        <v>761.81853281853284</v>
      </c>
      <c r="AD33" s="22">
        <f>'[238]Arc Results'!$I$59</f>
        <v>1047.3447921235595</v>
      </c>
      <c r="AE33" s="22">
        <f>'[238]Arc Results'!$I$114</f>
        <v>238.04247104247105</v>
      </c>
      <c r="AF33" s="22">
        <f>'[238]Arc Results'!$I$125</f>
        <v>263.56370656370655</v>
      </c>
      <c r="AG33" s="22">
        <f>'[238]Arc Results'!$I$147</f>
        <v>2808.2818532818533</v>
      </c>
      <c r="AH33" s="22">
        <f>'[238]Arc Results'!$I$158</f>
        <v>2839.9227799227801</v>
      </c>
      <c r="AI33" s="22">
        <f>'[238]Arc Results'!$I$213</f>
        <v>5176.7999999999893</v>
      </c>
      <c r="AJ33" s="22">
        <f>'[238]Arc Results'!$I$224</f>
        <v>6327.2000000000007</v>
      </c>
      <c r="AK33" s="22">
        <f>'[238]Arc Results'!$I$180</f>
        <v>3063</v>
      </c>
      <c r="AL33" s="22">
        <f>'[238]Arc Results'!$I$191</f>
        <v>3067</v>
      </c>
      <c r="AM33" s="22">
        <f>'[238]Arc Results'!$I$81</f>
        <v>3185.8388030888032</v>
      </c>
      <c r="AN33" s="22">
        <f>'[238]Arc Results'!$I$81</f>
        <v>3185.8388030888032</v>
      </c>
      <c r="AP33" s="9">
        <f t="shared" si="10"/>
        <v>1.2</v>
      </c>
      <c r="AQ33" s="9">
        <f t="shared" si="11"/>
        <v>1.1578222680996286</v>
      </c>
      <c r="AR33" s="9">
        <f t="shared" si="12"/>
        <v>1.0508790295267711</v>
      </c>
      <c r="AS33" s="9">
        <f t="shared" si="13"/>
        <v>1.0056019441036035</v>
      </c>
      <c r="AT33" s="9">
        <f t="shared" si="14"/>
        <v>1.1000000000000012</v>
      </c>
      <c r="AU33" s="9">
        <f t="shared" si="15"/>
        <v>1.000652528548124</v>
      </c>
      <c r="AV33" s="9">
        <f t="shared" si="16"/>
        <v>1</v>
      </c>
    </row>
    <row r="34" spans="1:48" ht="15.75">
      <c r="A34">
        <f t="shared" si="17"/>
        <v>30</v>
      </c>
      <c r="B34" s="9">
        <v>2020</v>
      </c>
      <c r="C34" s="9" t="s">
        <v>89</v>
      </c>
      <c r="D34" s="9" t="s">
        <v>5</v>
      </c>
      <c r="E34" s="7" t="s">
        <v>6</v>
      </c>
      <c r="F34" s="20" t="s">
        <v>78</v>
      </c>
      <c r="G34" s="7" t="s">
        <v>8</v>
      </c>
      <c r="H34" s="7" t="s">
        <v>9</v>
      </c>
      <c r="I34" s="9" t="s">
        <v>45</v>
      </c>
      <c r="J34" s="9">
        <v>500</v>
      </c>
      <c r="K34" s="9">
        <v>0.8</v>
      </c>
      <c r="L34" s="21">
        <f>'[239]Arc Results'!$I$10960+'[239]Arc Results'!$I$10971+'[239]Arc Results'!$I$10982+'[239]Arc Results'!$I$10993+'[239]Arc Results'!$I$11004+'[239]Arc Results'!$I$11015+'[239]Arc Results'!$I$11026+'[239]Arc Results'!$I$11037+'[239]Arc Results'!$I$11048+'[239]Arc Results'!$I$11059+'[239]Arc Results'!$I$11070+'[239]Arc Results'!$I$11081+'[239]Arc Results'!$I$11092+'[239]Arc Results'!$I$11103+'[239]Arc Results'!$I$11114+'[239]Arc Results'!$I$11125+'[239]Arc Results'!$I$11136+'[239]Arc Results'!$I$11147+'[239]Arc Results'!$I$11158+'[239]Arc Results'!$I$11169+'[239]Arc Results'!$I$11180+'[239]Arc Results'!$I$11191+'[239]Arc Results'!$I$11202+'[239]Arc Results'!$I$11213+'[239]Arc Results'!$I$11224+'[239]Arc Results'!$I$11235+'[239]Arc Results'!$I$11246+'[239]Arc Results'!$I$11257+'[239]Arc Results'!$I$11268</f>
        <v>3724.2513218532758</v>
      </c>
      <c r="M34" s="21">
        <f>'[239]Arc Results'!$I$257</f>
        <v>6165.6514285714129</v>
      </c>
      <c r="N34" s="21">
        <f t="shared" si="1"/>
        <v>5553.2818532818528</v>
      </c>
      <c r="O34" s="21">
        <f t="shared" si="2"/>
        <v>8609.476201389969</v>
      </c>
      <c r="P34" s="22">
        <f t="shared" si="3"/>
        <v>10088.999999999984</v>
      </c>
      <c r="Q34" s="22">
        <f t="shared" si="4"/>
        <v>1101.1708494208494</v>
      </c>
      <c r="R34" s="22">
        <f t="shared" si="5"/>
        <v>425.04247104247099</v>
      </c>
      <c r="S34" s="22">
        <f t="shared" si="6"/>
        <v>184.86486486486484</v>
      </c>
      <c r="T34" s="22">
        <f t="shared" si="7"/>
        <v>6129.9999999999982</v>
      </c>
      <c r="U34" s="21" t="str">
        <f>[239]Log!$K$2</f>
        <v>302.550.593,62</v>
      </c>
      <c r="V34" s="21" t="str">
        <f>[239]Log!$J$2</f>
        <v>47.021.195,86</v>
      </c>
      <c r="W34" s="21" t="str">
        <f>[239]Log!$N$2</f>
        <v>71.948.395,79</v>
      </c>
      <c r="X34" s="23">
        <f t="shared" si="8"/>
        <v>0</v>
      </c>
      <c r="Y34" s="22"/>
      <c r="Z34" s="24">
        <f t="shared" si="9"/>
        <v>38258.487668571397</v>
      </c>
      <c r="AA34" s="22">
        <f>'[239]Arc Results'!$I$15</f>
        <v>46.21621621621621</v>
      </c>
      <c r="AB34" s="22">
        <f>'[239]Arc Results'!$I$26</f>
        <v>138.64864864864862</v>
      </c>
      <c r="AC34" s="22">
        <f>'[239]Arc Results'!$I$48</f>
        <v>399.70463320463318</v>
      </c>
      <c r="AD34" s="22">
        <f>'[239]Arc Results'!$I$59</f>
        <v>701.46621621621625</v>
      </c>
      <c r="AE34" s="22">
        <f>'[239]Arc Results'!$I$114</f>
        <v>199.76061776061775</v>
      </c>
      <c r="AF34" s="22">
        <f>'[239]Arc Results'!$I$125</f>
        <v>225.28185328185327</v>
      </c>
      <c r="AG34" s="22">
        <f>'[239]Arc Results'!$I$147</f>
        <v>2760.8204633204632</v>
      </c>
      <c r="AH34" s="22">
        <f>'[239]Arc Results'!$I$158</f>
        <v>2792.4613899613901</v>
      </c>
      <c r="AI34" s="22">
        <f>'[239]Arc Results'!$I$213</f>
        <v>4141.3513513513517</v>
      </c>
      <c r="AJ34" s="22">
        <f>'[239]Arc Results'!$I$224</f>
        <v>4468.1248500386173</v>
      </c>
      <c r="AK34" s="22">
        <f>'[239]Arc Results'!$I$180</f>
        <v>3063</v>
      </c>
      <c r="AL34" s="22">
        <f>'[239]Arc Results'!$I$191</f>
        <v>3066.9999999999982</v>
      </c>
      <c r="AM34" s="22">
        <f>'[239]Arc Results'!$I$81</f>
        <v>5044.4999999999918</v>
      </c>
      <c r="AN34" s="22">
        <f>'[239]Arc Results'!$I$81</f>
        <v>5044.4999999999918</v>
      </c>
      <c r="AP34" s="9">
        <f t="shared" si="10"/>
        <v>1.4999999999999998</v>
      </c>
      <c r="AQ34" s="9">
        <f t="shared" si="11"/>
        <v>1.2740370244728978</v>
      </c>
      <c r="AR34" s="9">
        <f t="shared" si="12"/>
        <v>1.0600439656268736</v>
      </c>
      <c r="AS34" s="9">
        <f t="shared" si="13"/>
        <v>1.0056976986720436</v>
      </c>
      <c r="AT34" s="9">
        <f t="shared" si="14"/>
        <v>1.0379550963430864</v>
      </c>
      <c r="AU34" s="9">
        <f t="shared" si="15"/>
        <v>1.0006525285481236</v>
      </c>
      <c r="AV34" s="9">
        <f t="shared" si="16"/>
        <v>1</v>
      </c>
    </row>
    <row r="35" spans="1:48" ht="15.75">
      <c r="A35">
        <f t="shared" si="17"/>
        <v>31</v>
      </c>
      <c r="B35" s="9">
        <v>2020</v>
      </c>
      <c r="C35" s="9" t="s">
        <v>89</v>
      </c>
      <c r="D35" s="9" t="s">
        <v>5</v>
      </c>
      <c r="E35" s="7" t="s">
        <v>6</v>
      </c>
      <c r="F35" s="20" t="s">
        <v>79</v>
      </c>
      <c r="G35" s="7" t="s">
        <v>8</v>
      </c>
      <c r="H35" s="7" t="s">
        <v>9</v>
      </c>
      <c r="I35" s="9" t="s">
        <v>45</v>
      </c>
      <c r="J35" s="9">
        <v>500</v>
      </c>
      <c r="K35" s="9">
        <v>0.8</v>
      </c>
      <c r="L35" s="21">
        <f>'[240]Arc Results'!$I$10960+'[240]Arc Results'!$I$10971+'[240]Arc Results'!$I$10982+'[240]Arc Results'!$I$10993+'[240]Arc Results'!$I$11004+'[240]Arc Results'!$I$11015+'[240]Arc Results'!$I$11026+'[240]Arc Results'!$I$11037+'[240]Arc Results'!$I$11048+'[240]Arc Results'!$I$11059+'[240]Arc Results'!$I$11070+'[240]Arc Results'!$I$11081+'[240]Arc Results'!$I$11092+'[240]Arc Results'!$I$11103+'[240]Arc Results'!$I$11114+'[240]Arc Results'!$I$11125+'[240]Arc Results'!$I$11136+'[240]Arc Results'!$I$11147+'[240]Arc Results'!$I$11158+'[240]Arc Results'!$I$11169+'[240]Arc Results'!$I$11180+'[240]Arc Results'!$I$11191+'[240]Arc Results'!$I$11202+'[240]Arc Results'!$I$11213+'[240]Arc Results'!$I$11224+'[240]Arc Results'!$I$11235+'[240]Arc Results'!$I$11246+'[240]Arc Results'!$I$11257+'[240]Arc Results'!$I$11268</f>
        <v>3935.8572143629376</v>
      </c>
      <c r="M35" s="21">
        <f>'[240]Arc Results'!$I$257</f>
        <v>6165.6514285714038</v>
      </c>
      <c r="N35" s="21">
        <f t="shared" si="1"/>
        <v>5703.5762548262555</v>
      </c>
      <c r="O35" s="21">
        <f t="shared" si="2"/>
        <v>9908.2432432432433</v>
      </c>
      <c r="P35" s="22">
        <f t="shared" si="3"/>
        <v>7243.516409266409</v>
      </c>
      <c r="Q35" s="22">
        <f t="shared" si="4"/>
        <v>2199.0001374476637</v>
      </c>
      <c r="R35" s="22">
        <f t="shared" si="5"/>
        <v>546.26833976833973</v>
      </c>
      <c r="S35" s="22">
        <f t="shared" si="6"/>
        <v>670</v>
      </c>
      <c r="T35" s="22">
        <f t="shared" si="7"/>
        <v>6130</v>
      </c>
      <c r="U35" s="21" t="str">
        <f>[240]Log!$K$2</f>
        <v>324.981.277,67</v>
      </c>
      <c r="V35" s="21" t="str">
        <f>[240]Log!$J$2</f>
        <v>47.021.195,86</v>
      </c>
      <c r="W35" s="21" t="str">
        <f>[240]Log!$N$2</f>
        <v>71.948.395,79</v>
      </c>
      <c r="X35" s="23">
        <f t="shared" si="8"/>
        <v>0</v>
      </c>
      <c r="Y35" s="22"/>
      <c r="Z35" s="24">
        <f t="shared" si="9"/>
        <v>38566.255813123316</v>
      </c>
      <c r="AA35" s="22">
        <f>'[240]Arc Results'!$I$15</f>
        <v>335</v>
      </c>
      <c r="AB35" s="22">
        <f>'[240]Arc Results'!$I$26</f>
        <v>335</v>
      </c>
      <c r="AC35" s="22">
        <f>'[240]Arc Results'!$I$48</f>
        <v>954.36307181059794</v>
      </c>
      <c r="AD35" s="22">
        <f>'[240]Arc Results'!$I$59</f>
        <v>1244.6370656370657</v>
      </c>
      <c r="AE35" s="22">
        <f>'[240]Arc Results'!$I$114</f>
        <v>257.18339768339769</v>
      </c>
      <c r="AF35" s="22">
        <f>'[240]Arc Results'!$I$125</f>
        <v>289.0849420849421</v>
      </c>
      <c r="AG35" s="22">
        <f>'[240]Arc Results'!$I$147</f>
        <v>2832.0125482625485</v>
      </c>
      <c r="AH35" s="22">
        <f>'[240]Arc Results'!$I$158</f>
        <v>2871.5637065637065</v>
      </c>
      <c r="AI35" s="22">
        <f>'[240]Arc Results'!$I$213</f>
        <v>4777.4324324324325</v>
      </c>
      <c r="AJ35" s="22">
        <f>'[240]Arc Results'!$I$224</f>
        <v>5130.8108108108108</v>
      </c>
      <c r="AK35" s="22">
        <f>'[240]Arc Results'!$I$180</f>
        <v>3063</v>
      </c>
      <c r="AL35" s="22">
        <f>'[240]Arc Results'!$I$191</f>
        <v>3067</v>
      </c>
      <c r="AM35" s="22">
        <f>'[240]Arc Results'!$I$81</f>
        <v>3621.7582046332045</v>
      </c>
      <c r="AN35" s="22">
        <f>'[240]Arc Results'!$I$81</f>
        <v>3621.7582046332045</v>
      </c>
      <c r="AP35" s="9">
        <f t="shared" si="10"/>
        <v>1</v>
      </c>
      <c r="AQ35" s="9">
        <f t="shared" si="11"/>
        <v>1.1320027174547533</v>
      </c>
      <c r="AR35" s="9">
        <f t="shared" si="12"/>
        <v>1.0583990359299849</v>
      </c>
      <c r="AS35" s="9">
        <f t="shared" si="13"/>
        <v>1.0069344489376626</v>
      </c>
      <c r="AT35" s="9">
        <f t="shared" si="14"/>
        <v>1.0356650891286261</v>
      </c>
      <c r="AU35" s="9">
        <f t="shared" si="15"/>
        <v>1.000652528548124</v>
      </c>
      <c r="AV35" s="9">
        <f t="shared" si="16"/>
        <v>1</v>
      </c>
    </row>
    <row r="36" spans="1:48" ht="15.75">
      <c r="A36">
        <f t="shared" si="17"/>
        <v>32</v>
      </c>
      <c r="B36" s="9">
        <v>2020</v>
      </c>
      <c r="C36" s="9" t="s">
        <v>89</v>
      </c>
      <c r="D36" s="9" t="s">
        <v>5</v>
      </c>
      <c r="E36" s="7" t="s">
        <v>6</v>
      </c>
      <c r="F36" s="20" t="s">
        <v>80</v>
      </c>
      <c r="G36" s="7" t="s">
        <v>8</v>
      </c>
      <c r="H36" s="7" t="s">
        <v>9</v>
      </c>
      <c r="I36" s="9" t="s">
        <v>45</v>
      </c>
      <c r="J36" s="9">
        <v>500</v>
      </c>
      <c r="K36" s="9">
        <v>0.8</v>
      </c>
      <c r="L36" s="21">
        <f>'[241]Arc Results'!$I$10960+'[241]Arc Results'!$I$10971+'[241]Arc Results'!$I$10982+'[241]Arc Results'!$I$10993+'[241]Arc Results'!$I$11004+'[241]Arc Results'!$I$11015+'[241]Arc Results'!$I$11026+'[241]Arc Results'!$I$11037+'[241]Arc Results'!$I$11048+'[241]Arc Results'!$I$11059+'[241]Arc Results'!$I$11070+'[241]Arc Results'!$I$11081+'[241]Arc Results'!$I$11092+'[241]Arc Results'!$I$11103+'[241]Arc Results'!$I$11114+'[241]Arc Results'!$I$11125+'[241]Arc Results'!$I$11136+'[241]Arc Results'!$I$11147+'[241]Arc Results'!$I$11158+'[241]Arc Results'!$I$11169+'[241]Arc Results'!$I$11180+'[241]Arc Results'!$I$11191+'[241]Arc Results'!$I$11202+'[241]Arc Results'!$I$11213+'[241]Arc Results'!$I$11224+'[241]Arc Results'!$I$11235+'[241]Arc Results'!$I$11246+'[241]Arc Results'!$I$11257+'[241]Arc Results'!$I$11268</f>
        <v>3881.5261332818541</v>
      </c>
      <c r="M36" s="21">
        <f>'[241]Arc Results'!$I$257</f>
        <v>6165.6514285714302</v>
      </c>
      <c r="N36" s="21">
        <f t="shared" si="1"/>
        <v>5671.9353281853282</v>
      </c>
      <c r="O36" s="21">
        <f t="shared" si="2"/>
        <v>9625.54054054054</v>
      </c>
      <c r="P36" s="22">
        <f t="shared" si="3"/>
        <v>6791.9183487258688</v>
      </c>
      <c r="Q36" s="22">
        <f t="shared" si="4"/>
        <v>3219.9999999999995</v>
      </c>
      <c r="R36" s="22">
        <f t="shared" si="5"/>
        <v>520.74710424710429</v>
      </c>
      <c r="S36" s="22">
        <f t="shared" si="6"/>
        <v>531.48648648648646</v>
      </c>
      <c r="T36" s="22">
        <f t="shared" si="7"/>
        <v>6130</v>
      </c>
      <c r="U36" s="21" t="str">
        <f>[241]Log!$K$2</f>
        <v>319.032.589,60</v>
      </c>
      <c r="V36" s="21" t="str">
        <f>[241]Log!$J$2</f>
        <v>47.021.195,86</v>
      </c>
      <c r="W36" s="21" t="str">
        <f>[241]Log!$N$2</f>
        <v>71.948.395,79</v>
      </c>
      <c r="X36" s="23">
        <f t="shared" si="8"/>
        <v>0</v>
      </c>
      <c r="Y36" s="22"/>
      <c r="Z36" s="24">
        <f t="shared" si="9"/>
        <v>38657.27923675676</v>
      </c>
      <c r="AA36" s="22">
        <f>'[241]Arc Results'!$I$15</f>
        <v>207.97297297297294</v>
      </c>
      <c r="AB36" s="22">
        <f>'[241]Arc Results'!$I$26</f>
        <v>323.51351351351349</v>
      </c>
      <c r="AC36" s="22">
        <f>'[241]Arc Results'!$I$48</f>
        <v>1448.9999999999993</v>
      </c>
      <c r="AD36" s="22">
        <f>'[241]Arc Results'!$I$59</f>
        <v>1771.0000000000002</v>
      </c>
      <c r="AE36" s="22">
        <f>'[241]Arc Results'!$I$114</f>
        <v>244.42277992277991</v>
      </c>
      <c r="AF36" s="22">
        <f>'[241]Arc Results'!$I$125</f>
        <v>276.32432432432432</v>
      </c>
      <c r="AG36" s="22">
        <f>'[241]Arc Results'!$I$147</f>
        <v>2816.1920849420849</v>
      </c>
      <c r="AH36" s="22">
        <f>'[241]Arc Results'!$I$158</f>
        <v>2855.7432432432433</v>
      </c>
      <c r="AI36" s="22">
        <f>'[241]Arc Results'!$I$213</f>
        <v>4636.0810810810808</v>
      </c>
      <c r="AJ36" s="22">
        <f>'[241]Arc Results'!$I$224</f>
        <v>4989.4594594594591</v>
      </c>
      <c r="AK36" s="22">
        <f>'[241]Arc Results'!$I$180</f>
        <v>3063</v>
      </c>
      <c r="AL36" s="22">
        <f>'[241]Arc Results'!$I$191</f>
        <v>3067.0000000000005</v>
      </c>
      <c r="AM36" s="22">
        <f>'[241]Arc Results'!$I$81</f>
        <v>3395.9591743629344</v>
      </c>
      <c r="AN36" s="22">
        <f>'[241]Arc Results'!$I$81</f>
        <v>3395.9591743629344</v>
      </c>
      <c r="AP36" s="9">
        <f t="shared" si="10"/>
        <v>1.2173913043478262</v>
      </c>
      <c r="AQ36" s="9">
        <f t="shared" si="11"/>
        <v>1.1000000000000003</v>
      </c>
      <c r="AR36" s="9">
        <f t="shared" si="12"/>
        <v>1.0612611076304832</v>
      </c>
      <c r="AS36" s="9">
        <f t="shared" si="13"/>
        <v>1.0069731328043567</v>
      </c>
      <c r="AT36" s="9">
        <f t="shared" si="14"/>
        <v>1.0367125749343666</v>
      </c>
      <c r="AU36" s="9">
        <f t="shared" si="15"/>
        <v>1.000652528548124</v>
      </c>
      <c r="AV36" s="9">
        <f t="shared" si="16"/>
        <v>1</v>
      </c>
    </row>
    <row r="37" spans="1:48" ht="15.75">
      <c r="A37">
        <f t="shared" si="17"/>
        <v>33</v>
      </c>
      <c r="B37" s="9">
        <v>2020</v>
      </c>
      <c r="C37" s="9" t="s">
        <v>89</v>
      </c>
      <c r="D37" s="9" t="s">
        <v>5</v>
      </c>
      <c r="E37" s="7" t="s">
        <v>6</v>
      </c>
      <c r="F37" s="20" t="s">
        <v>81</v>
      </c>
      <c r="G37" s="7" t="s">
        <v>8</v>
      </c>
      <c r="H37" s="7" t="s">
        <v>9</v>
      </c>
      <c r="I37" s="9" t="s">
        <v>45</v>
      </c>
      <c r="J37" s="9">
        <v>500</v>
      </c>
      <c r="K37" s="9">
        <v>0.8</v>
      </c>
      <c r="L37" s="21">
        <f>'[242]Arc Results'!$I$10960+'[242]Arc Results'!$I$10971+'[242]Arc Results'!$I$10982+'[242]Arc Results'!$I$10993+'[242]Arc Results'!$I$11004+'[242]Arc Results'!$I$11015+'[242]Arc Results'!$I$11026+'[242]Arc Results'!$I$11037+'[242]Arc Results'!$I$11048+'[242]Arc Results'!$I$11059+'[242]Arc Results'!$I$11070+'[242]Arc Results'!$I$11081+'[242]Arc Results'!$I$11092+'[242]Arc Results'!$I$11103+'[242]Arc Results'!$I$11114+'[242]Arc Results'!$I$11125+'[242]Arc Results'!$I$11136+'[242]Arc Results'!$I$11147+'[242]Arc Results'!$I$11158+'[242]Arc Results'!$I$11169+'[242]Arc Results'!$I$11180+'[242]Arc Results'!$I$11191+'[242]Arc Results'!$I$11202+'[242]Arc Results'!$I$11213+'[242]Arc Results'!$I$11224+'[242]Arc Results'!$I$11235+'[242]Arc Results'!$I$11246+'[242]Arc Results'!$I$11257+'[242]Arc Results'!$I$11268</f>
        <v>3922.0754166836114</v>
      </c>
      <c r="M37" s="21">
        <f>'[242]Arc Results'!$I$257</f>
        <v>6165.6514285714238</v>
      </c>
      <c r="N37" s="21">
        <f t="shared" si="1"/>
        <v>5695.6660231660235</v>
      </c>
      <c r="O37" s="21">
        <f t="shared" si="2"/>
        <v>9908.2432432432433</v>
      </c>
      <c r="P37" s="22">
        <f t="shared" si="3"/>
        <v>7243.516409266409</v>
      </c>
      <c r="Q37" s="22">
        <f t="shared" si="4"/>
        <v>2161.9895196870439</v>
      </c>
      <c r="R37" s="22">
        <f t="shared" si="5"/>
        <v>671.99999999999989</v>
      </c>
      <c r="S37" s="22">
        <f t="shared" si="6"/>
        <v>589.18918918918916</v>
      </c>
      <c r="T37" s="22">
        <f t="shared" si="7"/>
        <v>6130</v>
      </c>
      <c r="U37" s="21" t="str">
        <f>[242]Log!$K$2</f>
        <v>325.078.311,80</v>
      </c>
      <c r="V37" s="21" t="str">
        <f>[242]Log!$J$2</f>
        <v>47.021.195,86</v>
      </c>
      <c r="W37" s="21" t="str">
        <f>[242]Log!$N$2</f>
        <v>71.948.395,79</v>
      </c>
      <c r="X37" s="23">
        <f t="shared" si="8"/>
        <v>0</v>
      </c>
      <c r="Y37" s="22"/>
      <c r="Z37" s="24">
        <f t="shared" si="9"/>
        <v>38566.255813123338</v>
      </c>
      <c r="AA37" s="22">
        <f>'[242]Arc Results'!$I$15</f>
        <v>254.18918918918914</v>
      </c>
      <c r="AB37" s="22">
        <f>'[242]Arc Results'!$I$26</f>
        <v>335</v>
      </c>
      <c r="AC37" s="22">
        <f>'[242]Arc Results'!$I$48</f>
        <v>942.87548262548262</v>
      </c>
      <c r="AD37" s="22">
        <f>'[242]Arc Results'!$I$59</f>
        <v>1219.1140370615615</v>
      </c>
      <c r="AE37" s="22">
        <f>'[242]Arc Results'!$I$114</f>
        <v>335.69999999999987</v>
      </c>
      <c r="AF37" s="22">
        <f>'[242]Arc Results'!$I$125</f>
        <v>336.3</v>
      </c>
      <c r="AG37" s="22">
        <f>'[242]Arc Results'!$I$147</f>
        <v>2832.0125482625485</v>
      </c>
      <c r="AH37" s="22">
        <f>'[242]Arc Results'!$I$158</f>
        <v>2863.6534749034749</v>
      </c>
      <c r="AI37" s="22">
        <f>'[242]Arc Results'!$I$213</f>
        <v>4777.4324324324325</v>
      </c>
      <c r="AJ37" s="22">
        <f>'[242]Arc Results'!$I$224</f>
        <v>5130.8108108108108</v>
      </c>
      <c r="AK37" s="22">
        <f>'[242]Arc Results'!$I$180</f>
        <v>3063</v>
      </c>
      <c r="AL37" s="22">
        <f>'[242]Arc Results'!$I$191</f>
        <v>3067</v>
      </c>
      <c r="AM37" s="22">
        <f>'[242]Arc Results'!$I$81</f>
        <v>3621.7582046332045</v>
      </c>
      <c r="AN37" s="22">
        <f>'[242]Arc Results'!$I$81</f>
        <v>3621.7582046332045</v>
      </c>
      <c r="AP37" s="9">
        <f t="shared" si="10"/>
        <v>1.1371559633027524</v>
      </c>
      <c r="AQ37" s="9">
        <f t="shared" si="11"/>
        <v>1.1277705335389718</v>
      </c>
      <c r="AR37" s="9">
        <f t="shared" si="12"/>
        <v>1.0008928571428573</v>
      </c>
      <c r="AS37" s="9">
        <f t="shared" si="13"/>
        <v>1.0055552636886069</v>
      </c>
      <c r="AT37" s="9">
        <f t="shared" si="14"/>
        <v>1.0356650891286261</v>
      </c>
      <c r="AU37" s="9">
        <f t="shared" si="15"/>
        <v>1.000652528548124</v>
      </c>
      <c r="AV37" s="9">
        <f t="shared" si="16"/>
        <v>1</v>
      </c>
    </row>
    <row r="38" spans="1:48" ht="15.75">
      <c r="A38">
        <f t="shared" si="17"/>
        <v>34</v>
      </c>
      <c r="B38" s="9">
        <v>2020</v>
      </c>
      <c r="C38" s="9" t="s">
        <v>89</v>
      </c>
      <c r="D38" s="9" t="s">
        <v>5</v>
      </c>
      <c r="E38" s="7" t="s">
        <v>6</v>
      </c>
      <c r="F38" s="20" t="s">
        <v>82</v>
      </c>
      <c r="G38" s="7" t="s">
        <v>8</v>
      </c>
      <c r="H38" s="7" t="s">
        <v>9</v>
      </c>
      <c r="I38" s="9" t="s">
        <v>45</v>
      </c>
      <c r="J38" s="9">
        <v>500</v>
      </c>
      <c r="K38" s="9">
        <v>0.8</v>
      </c>
      <c r="L38" s="21">
        <f>'[243]Arc Results'!$I$10960+'[243]Arc Results'!$I$10971+'[243]Arc Results'!$I$10982+'[243]Arc Results'!$I$10993+'[243]Arc Results'!$I$11004+'[243]Arc Results'!$I$11015+'[243]Arc Results'!$I$11026+'[243]Arc Results'!$I$11037+'[243]Arc Results'!$I$11048+'[243]Arc Results'!$I$11059+'[243]Arc Results'!$I$11070+'[243]Arc Results'!$I$11081+'[243]Arc Results'!$I$11092+'[243]Arc Results'!$I$11103+'[243]Arc Results'!$I$11114+'[243]Arc Results'!$I$11125+'[243]Arc Results'!$I$11136+'[243]Arc Results'!$I$11147+'[243]Arc Results'!$I$11158+'[243]Arc Results'!$I$11169+'[243]Arc Results'!$I$11180+'[243]Arc Results'!$I$11191+'[243]Arc Results'!$I$11202+'[243]Arc Results'!$I$11213+'[243]Arc Results'!$I$11224+'[243]Arc Results'!$I$11235+'[243]Arc Results'!$I$11246+'[243]Arc Results'!$I$11257+'[243]Arc Results'!$I$11268</f>
        <v>4062.3691425523384</v>
      </c>
      <c r="M38" s="21">
        <f>'[243]Arc Results'!$I$257</f>
        <v>6165.6514285714102</v>
      </c>
      <c r="N38" s="21">
        <f t="shared" si="1"/>
        <v>5490</v>
      </c>
      <c r="O38" s="21">
        <f t="shared" si="2"/>
        <v>9978.9189189189201</v>
      </c>
      <c r="P38" s="22">
        <f t="shared" si="3"/>
        <v>7534.1293436293436</v>
      </c>
      <c r="Q38" s="22">
        <f t="shared" si="4"/>
        <v>2247.864864864865</v>
      </c>
      <c r="R38" s="22">
        <f t="shared" si="5"/>
        <v>552.64864864864865</v>
      </c>
      <c r="S38" s="22">
        <f t="shared" si="6"/>
        <v>612.29729729729729</v>
      </c>
      <c r="T38" s="22">
        <f t="shared" si="7"/>
        <v>6130</v>
      </c>
      <c r="U38" s="21" t="str">
        <f>[243]Log!$K$2</f>
        <v>339.569.195,68</v>
      </c>
      <c r="V38" s="21" t="str">
        <f>[243]Log!$J$2</f>
        <v>47.021.195,86</v>
      </c>
      <c r="W38" s="21" t="str">
        <f>[243]Log!$N$2</f>
        <v>71.948.395,79</v>
      </c>
      <c r="X38" s="23">
        <f t="shared" si="8"/>
        <v>0</v>
      </c>
      <c r="Y38" s="22"/>
      <c r="Z38" s="24">
        <f t="shared" si="9"/>
        <v>38711.51050193049</v>
      </c>
      <c r="AA38" s="22">
        <f>'[243]Arc Results'!$I$15</f>
        <v>277.29729729729723</v>
      </c>
      <c r="AB38" s="22">
        <f>'[243]Arc Results'!$I$26</f>
        <v>335</v>
      </c>
      <c r="AC38" s="22">
        <f>'[243]Arc Results'!$I$48</f>
        <v>1003.2277992277992</v>
      </c>
      <c r="AD38" s="22">
        <f>'[243]Arc Results'!$I$59</f>
        <v>1244.6370656370657</v>
      </c>
      <c r="AE38" s="22">
        <f>'[243]Arc Results'!$I$114</f>
        <v>263.56370656370655</v>
      </c>
      <c r="AF38" s="22">
        <f>'[243]Arc Results'!$I$125</f>
        <v>289.0849420849421</v>
      </c>
      <c r="AG38" s="22">
        <f>'[243]Arc Results'!$I$147</f>
        <v>2745</v>
      </c>
      <c r="AH38" s="22">
        <f>'[243]Arc Results'!$I$158</f>
        <v>2745</v>
      </c>
      <c r="AI38" s="22">
        <f>'[243]Arc Results'!$I$213</f>
        <v>4848.1081081081084</v>
      </c>
      <c r="AJ38" s="22">
        <f>'[243]Arc Results'!$I$224</f>
        <v>5130.8108108108108</v>
      </c>
      <c r="AK38" s="22">
        <f>'[243]Arc Results'!$I$180</f>
        <v>3063</v>
      </c>
      <c r="AL38" s="22">
        <f>'[243]Arc Results'!$I$191</f>
        <v>3067</v>
      </c>
      <c r="AM38" s="22">
        <f>'[243]Arc Results'!$I$81</f>
        <v>3767.0646718146718</v>
      </c>
      <c r="AN38" s="22">
        <f>'[243]Arc Results'!$I$81</f>
        <v>3767.0646718146718</v>
      </c>
      <c r="AP38" s="9">
        <f t="shared" si="10"/>
        <v>1.0942396821893621</v>
      </c>
      <c r="AQ38" s="9">
        <f t="shared" si="11"/>
        <v>1.1073949195890738</v>
      </c>
      <c r="AR38" s="9">
        <f t="shared" si="12"/>
        <v>1.0461798569192935</v>
      </c>
      <c r="AS38" s="9">
        <f t="shared" si="13"/>
        <v>1</v>
      </c>
      <c r="AT38" s="9">
        <f t="shared" si="14"/>
        <v>1.0283299929581278</v>
      </c>
      <c r="AU38" s="9">
        <f t="shared" si="15"/>
        <v>1.000652528548124</v>
      </c>
      <c r="AV38" s="9">
        <f t="shared" si="16"/>
        <v>1</v>
      </c>
    </row>
    <row r="39" spans="1:48" ht="15.75">
      <c r="A39">
        <f t="shared" si="17"/>
        <v>35</v>
      </c>
      <c r="B39" s="9">
        <v>2020</v>
      </c>
      <c r="C39" s="9" t="s">
        <v>89</v>
      </c>
      <c r="D39" s="9" t="s">
        <v>5</v>
      </c>
      <c r="E39" s="7" t="s">
        <v>6</v>
      </c>
      <c r="F39" s="20" t="s">
        <v>83</v>
      </c>
      <c r="G39" s="7" t="s">
        <v>8</v>
      </c>
      <c r="H39" s="7" t="s">
        <v>9</v>
      </c>
      <c r="I39" s="9" t="s">
        <v>45</v>
      </c>
      <c r="J39" s="9">
        <v>500</v>
      </c>
      <c r="K39" s="9">
        <v>0.8</v>
      </c>
      <c r="L39" s="21">
        <f>'[244]Arc Results'!$I$10960+'[244]Arc Results'!$I$10971+'[244]Arc Results'!$I$10982+'[244]Arc Results'!$I$10993+'[244]Arc Results'!$I$11004+'[244]Arc Results'!$I$11015+'[244]Arc Results'!$I$11026+'[244]Arc Results'!$I$11037+'[244]Arc Results'!$I$11048+'[244]Arc Results'!$I$11059+'[244]Arc Results'!$I$11070+'[244]Arc Results'!$I$11081+'[244]Arc Results'!$I$11092+'[244]Arc Results'!$I$11103+'[244]Arc Results'!$I$11114+'[244]Arc Results'!$I$11125+'[244]Arc Results'!$I$11136+'[244]Arc Results'!$I$11147+'[244]Arc Results'!$I$11158+'[244]Arc Results'!$I$11169+'[244]Arc Results'!$I$11180+'[244]Arc Results'!$I$11191+'[244]Arc Results'!$I$11202+'[244]Arc Results'!$I$11213+'[244]Arc Results'!$I$11224+'[244]Arc Results'!$I$11235+'[244]Arc Results'!$I$11246+'[244]Arc Results'!$I$11257+'[244]Arc Results'!$I$11268</f>
        <v>4127.9743314800526</v>
      </c>
      <c r="M39" s="21">
        <f>'[244]Arc Results'!$I$257</f>
        <v>6165.6514285714247</v>
      </c>
      <c r="N39" s="21">
        <f t="shared" si="1"/>
        <v>5766.8581081081084</v>
      </c>
      <c r="O39" s="21">
        <f t="shared" si="2"/>
        <v>8058.8963963963961</v>
      </c>
      <c r="P39" s="22">
        <f t="shared" si="3"/>
        <v>8608.4478295928766</v>
      </c>
      <c r="Q39" s="22">
        <f t="shared" si="4"/>
        <v>2670.3310810810808</v>
      </c>
      <c r="R39" s="22">
        <f t="shared" si="5"/>
        <v>597.31081081081084</v>
      </c>
      <c r="S39" s="22">
        <f t="shared" si="6"/>
        <v>670</v>
      </c>
      <c r="T39" s="22">
        <f t="shared" si="7"/>
        <v>6130</v>
      </c>
      <c r="U39" s="21" t="str">
        <f>[244]Log!$K$2</f>
        <v>347.376.845,34</v>
      </c>
      <c r="V39" s="21" t="str">
        <f>[244]Log!$J$2</f>
        <v>47.021.195,86</v>
      </c>
      <c r="W39" s="21" t="str">
        <f>[244]Log!$N$2</f>
        <v>71.948.395,79</v>
      </c>
      <c r="X39" s="23">
        <f t="shared" si="8"/>
        <v>0</v>
      </c>
      <c r="Y39" s="22"/>
      <c r="Z39" s="24">
        <f t="shared" si="9"/>
        <v>38667.495654560698</v>
      </c>
      <c r="AA39" s="22">
        <f>'[244]Arc Results'!$I$15</f>
        <v>335</v>
      </c>
      <c r="AB39" s="22">
        <f>'[244]Arc Results'!$I$26</f>
        <v>335</v>
      </c>
      <c r="AC39" s="22">
        <f>'[244]Arc Results'!$I$48</f>
        <v>1184.284749034749</v>
      </c>
      <c r="AD39" s="22">
        <f>'[244]Arc Results'!$I$59</f>
        <v>1486.0463320463321</v>
      </c>
      <c r="AE39" s="22">
        <f>'[244]Arc Results'!$I$114</f>
        <v>282.70463320463318</v>
      </c>
      <c r="AF39" s="22">
        <f>'[244]Arc Results'!$I$125</f>
        <v>314.6061776061776</v>
      </c>
      <c r="AG39" s="22">
        <f>'[244]Arc Results'!$I$147</f>
        <v>2863.6534749034749</v>
      </c>
      <c r="AH39" s="22">
        <f>'[244]Arc Results'!$I$158</f>
        <v>2903.2046332046334</v>
      </c>
      <c r="AI39" s="22">
        <f>'[244]Arc Results'!$I$213</f>
        <v>4000</v>
      </c>
      <c r="AJ39" s="22">
        <f>'[244]Arc Results'!$I$224</f>
        <v>4058.8963963963965</v>
      </c>
      <c r="AK39" s="22">
        <f>'[244]Arc Results'!$I$180</f>
        <v>3063</v>
      </c>
      <c r="AL39" s="22">
        <f>'[244]Arc Results'!$I$191</f>
        <v>3067</v>
      </c>
      <c r="AM39" s="22">
        <f>'[244]Arc Results'!$I$81</f>
        <v>4304.2239147964383</v>
      </c>
      <c r="AN39" s="22">
        <f>'[244]Arc Results'!$I$81</f>
        <v>4304.2239147964383</v>
      </c>
      <c r="AP39" s="9">
        <f t="shared" si="10"/>
        <v>1</v>
      </c>
      <c r="AQ39" s="9">
        <f t="shared" si="11"/>
        <v>1.1130053067761978</v>
      </c>
      <c r="AR39" s="9">
        <f t="shared" si="12"/>
        <v>1.0534086171288948</v>
      </c>
      <c r="AS39" s="9">
        <f t="shared" si="13"/>
        <v>1.0068583546811305</v>
      </c>
      <c r="AT39" s="9">
        <f t="shared" si="14"/>
        <v>1.0073082458812515</v>
      </c>
      <c r="AU39" s="9">
        <f t="shared" si="15"/>
        <v>1.000652528548124</v>
      </c>
      <c r="AV39" s="9">
        <f t="shared" si="16"/>
        <v>1</v>
      </c>
    </row>
    <row r="40" spans="1:48" ht="15.75">
      <c r="A40">
        <f t="shared" si="17"/>
        <v>36</v>
      </c>
      <c r="B40" s="9">
        <v>2020</v>
      </c>
      <c r="C40" s="9" t="s">
        <v>89</v>
      </c>
      <c r="D40" s="9" t="s">
        <v>5</v>
      </c>
      <c r="E40" s="7" t="s">
        <v>6</v>
      </c>
      <c r="F40" s="20" t="s">
        <v>84</v>
      </c>
      <c r="G40" s="7" t="s">
        <v>8</v>
      </c>
      <c r="H40" s="7" t="s">
        <v>9</v>
      </c>
      <c r="I40" s="9" t="s">
        <v>45</v>
      </c>
      <c r="J40" s="9">
        <v>500</v>
      </c>
      <c r="K40" s="9">
        <v>0.8</v>
      </c>
      <c r="L40" s="21">
        <f>'[245]Arc Results'!$I$10960+'[245]Arc Results'!$I$10971+'[245]Arc Results'!$I$10982+'[245]Arc Results'!$I$10993+'[245]Arc Results'!$I$11004+'[245]Arc Results'!$I$11015+'[245]Arc Results'!$I$11026+'[245]Arc Results'!$I$11037+'[245]Arc Results'!$I$11048+'[245]Arc Results'!$I$11059+'[245]Arc Results'!$I$11070+'[245]Arc Results'!$I$11081+'[245]Arc Results'!$I$11092+'[245]Arc Results'!$I$11103+'[245]Arc Results'!$I$11114+'[245]Arc Results'!$I$11125+'[245]Arc Results'!$I$11136+'[245]Arc Results'!$I$11147+'[245]Arc Results'!$I$11158+'[245]Arc Results'!$I$11169+'[245]Arc Results'!$I$11180+'[245]Arc Results'!$I$11191+'[245]Arc Results'!$I$11202+'[245]Arc Results'!$I$11213+'[245]Arc Results'!$I$11224+'[245]Arc Results'!$I$11235+'[245]Arc Results'!$I$11246+'[245]Arc Results'!$I$11257+'[245]Arc Results'!$I$11268</f>
        <v>3577.1305412612533</v>
      </c>
      <c r="M40" s="21">
        <f>'[245]Arc Results'!$I$257</f>
        <v>6165.6514285714311</v>
      </c>
      <c r="N40" s="21">
        <f t="shared" si="1"/>
        <v>6124.0000000000055</v>
      </c>
      <c r="O40" s="21">
        <f t="shared" si="2"/>
        <v>11503.999999999993</v>
      </c>
      <c r="P40" s="22">
        <f t="shared" si="3"/>
        <v>4628</v>
      </c>
      <c r="Q40" s="22">
        <f t="shared" si="4"/>
        <v>3190.8137153112416</v>
      </c>
      <c r="R40" s="22">
        <f t="shared" si="5"/>
        <v>638.14555984555977</v>
      </c>
      <c r="S40" s="22">
        <f t="shared" si="6"/>
        <v>670</v>
      </c>
      <c r="T40" s="22">
        <f t="shared" si="7"/>
        <v>6130</v>
      </c>
      <c r="U40" s="21" t="str">
        <f>[245]Log!$K$2</f>
        <v>341.745.371,09</v>
      </c>
      <c r="V40" s="21" t="str">
        <f>[245]Log!$J$2</f>
        <v>47.021.195,86</v>
      </c>
      <c r="W40" s="21" t="str">
        <f>[245]Log!$N$2</f>
        <v>71.948.395,79</v>
      </c>
      <c r="X40" s="23">
        <f t="shared" si="8"/>
        <v>0</v>
      </c>
      <c r="Y40" s="22"/>
      <c r="Z40" s="24">
        <f t="shared" si="9"/>
        <v>39050.610703728235</v>
      </c>
      <c r="AA40" s="22">
        <f>'[245]Arc Results'!$I$15</f>
        <v>335</v>
      </c>
      <c r="AB40" s="22">
        <f>'[245]Arc Results'!$I$26</f>
        <v>335</v>
      </c>
      <c r="AC40" s="22">
        <f>'[245]Arc Results'!$I$48</f>
        <v>1419.8137153112414</v>
      </c>
      <c r="AD40" s="22">
        <f>'[245]Arc Results'!$I$59</f>
        <v>1771.0000000000002</v>
      </c>
      <c r="AE40" s="22">
        <f>'[245]Arc Results'!$I$114</f>
        <v>301.84555984555982</v>
      </c>
      <c r="AF40" s="22">
        <f>'[245]Arc Results'!$I$125</f>
        <v>336.3</v>
      </c>
      <c r="AG40" s="22">
        <f>'[245]Arc Results'!$I$147</f>
        <v>2871.5637065637065</v>
      </c>
      <c r="AH40" s="22">
        <f>'[245]Arc Results'!$I$158</f>
        <v>3252.4362934362994</v>
      </c>
      <c r="AI40" s="22">
        <f>'[245]Arc Results'!$I$213</f>
        <v>5176.7999999999911</v>
      </c>
      <c r="AJ40" s="22">
        <f>'[245]Arc Results'!$I$224</f>
        <v>6327.2000000000007</v>
      </c>
      <c r="AK40" s="22">
        <f>'[245]Arc Results'!$I$180</f>
        <v>3063</v>
      </c>
      <c r="AL40" s="22">
        <f>'[245]Arc Results'!$I$191</f>
        <v>3067</v>
      </c>
      <c r="AM40" s="22">
        <f>'[245]Arc Results'!$I$81</f>
        <v>2314</v>
      </c>
      <c r="AN40" s="22">
        <f>'[245]Arc Results'!$I$81</f>
        <v>2314</v>
      </c>
      <c r="AP40" s="9">
        <f t="shared" si="10"/>
        <v>1</v>
      </c>
      <c r="AQ40" s="9">
        <f t="shared" si="11"/>
        <v>1.1100616695370145</v>
      </c>
      <c r="AR40" s="9">
        <f t="shared" si="12"/>
        <v>1.0539915065189496</v>
      </c>
      <c r="AS40" s="9">
        <f t="shared" si="13"/>
        <v>1.0621934335193652</v>
      </c>
      <c r="AT40" s="9">
        <f t="shared" si="14"/>
        <v>1.1000000000000008</v>
      </c>
      <c r="AU40" s="9">
        <f t="shared" si="15"/>
        <v>1.000652528548124</v>
      </c>
      <c r="AV40" s="9">
        <f t="shared" si="16"/>
        <v>1</v>
      </c>
    </row>
    <row r="41" spans="1:48" ht="15.75">
      <c r="A41">
        <f t="shared" si="17"/>
        <v>37</v>
      </c>
      <c r="B41" s="9">
        <v>2020</v>
      </c>
      <c r="C41" s="9" t="s">
        <v>89</v>
      </c>
      <c r="D41" s="9" t="s">
        <v>5</v>
      </c>
      <c r="E41" s="7" t="s">
        <v>6</v>
      </c>
      <c r="F41" s="20" t="s">
        <v>85</v>
      </c>
      <c r="G41" s="7" t="s">
        <v>8</v>
      </c>
      <c r="H41" s="7" t="s">
        <v>9</v>
      </c>
      <c r="I41" s="9" t="s">
        <v>45</v>
      </c>
      <c r="J41" s="9">
        <v>500</v>
      </c>
      <c r="K41" s="9">
        <v>0.8</v>
      </c>
      <c r="L41" s="21">
        <f>'[246]Arc Results'!$I$10960+'[246]Arc Results'!$I$10971+'[246]Arc Results'!$I$10982+'[246]Arc Results'!$I$10993+'[246]Arc Results'!$I$11004+'[246]Arc Results'!$I$11015+'[246]Arc Results'!$I$11026+'[246]Arc Results'!$I$11037+'[246]Arc Results'!$I$11048+'[246]Arc Results'!$I$11059+'[246]Arc Results'!$I$11070+'[246]Arc Results'!$I$11081+'[246]Arc Results'!$I$11092+'[246]Arc Results'!$I$11103+'[246]Arc Results'!$I$11114+'[246]Arc Results'!$I$11125+'[246]Arc Results'!$I$11136+'[246]Arc Results'!$I$11147+'[246]Arc Results'!$I$11158+'[246]Arc Results'!$I$11169+'[246]Arc Results'!$I$11180+'[246]Arc Results'!$I$11191+'[246]Arc Results'!$I$11202+'[246]Arc Results'!$I$11213+'[246]Arc Results'!$I$11224+'[246]Arc Results'!$I$11235+'[246]Arc Results'!$I$11246+'[246]Arc Results'!$I$11257+'[246]Arc Results'!$I$11268</f>
        <v>3980.2322143629362</v>
      </c>
      <c r="M41" s="21">
        <f>'[246]Arc Results'!$I$257</f>
        <v>6165.6514285714129</v>
      </c>
      <c r="N41" s="21">
        <f t="shared" si="1"/>
        <v>5719.3967181467178</v>
      </c>
      <c r="O41" s="21">
        <f t="shared" si="2"/>
        <v>10049.594594594595</v>
      </c>
      <c r="P41" s="22">
        <f t="shared" si="3"/>
        <v>7613.899888794941</v>
      </c>
      <c r="Q41" s="22">
        <f t="shared" si="4"/>
        <v>2368.569498069498</v>
      </c>
      <c r="R41" s="22">
        <f t="shared" si="5"/>
        <v>559.02895752895756</v>
      </c>
      <c r="S41" s="22">
        <f t="shared" si="6"/>
        <v>0</v>
      </c>
      <c r="T41" s="22">
        <f t="shared" si="7"/>
        <v>6130</v>
      </c>
      <c r="U41" s="21" t="str">
        <f>[246]Log!$K$2</f>
        <v>327.213.824,30</v>
      </c>
      <c r="V41" s="21" t="str">
        <f>[246]Log!$J$2</f>
        <v>47.021.195,86</v>
      </c>
      <c r="W41" s="21" t="str">
        <f>[246]Log!$N$2</f>
        <v>71.948.395,79</v>
      </c>
      <c r="X41" s="23">
        <f t="shared" si="8"/>
        <v>0</v>
      </c>
      <c r="Y41" s="22"/>
      <c r="Z41" s="24">
        <f t="shared" si="9"/>
        <v>38606.14108570612</v>
      </c>
      <c r="AA41" s="22">
        <f>'[246]Arc Results'!$I$15</f>
        <v>0</v>
      </c>
      <c r="AB41" s="22">
        <f>'[246]Arc Results'!$I$26</f>
        <v>0</v>
      </c>
      <c r="AC41" s="22">
        <f>'[246]Arc Results'!$I$48</f>
        <v>1063.5801158301158</v>
      </c>
      <c r="AD41" s="22">
        <f>'[246]Arc Results'!$I$59</f>
        <v>1304.9893822393822</v>
      </c>
      <c r="AE41" s="22">
        <f>'[246]Arc Results'!$I$114</f>
        <v>263.56370656370655</v>
      </c>
      <c r="AF41" s="22">
        <f>'[246]Arc Results'!$I$125</f>
        <v>295.46525096525096</v>
      </c>
      <c r="AG41" s="22">
        <f>'[246]Arc Results'!$I$147</f>
        <v>2839.9227799227801</v>
      </c>
      <c r="AH41" s="22">
        <f>'[246]Arc Results'!$I$158</f>
        <v>2879.4739382239381</v>
      </c>
      <c r="AI41" s="22">
        <f>'[246]Arc Results'!$I$213</f>
        <v>4848.1081081081084</v>
      </c>
      <c r="AJ41" s="22">
        <f>'[246]Arc Results'!$I$224</f>
        <v>5201.4864864864867</v>
      </c>
      <c r="AK41" s="22">
        <f>'[246]Arc Results'!$I$180</f>
        <v>3063</v>
      </c>
      <c r="AL41" s="22">
        <f>'[246]Arc Results'!$I$191</f>
        <v>3067</v>
      </c>
      <c r="AM41" s="22">
        <f>'[246]Arc Results'!$I$81</f>
        <v>3806.9499443974705</v>
      </c>
      <c r="AN41" s="22">
        <f>'[246]Arc Results'!$I$81</f>
        <v>3806.9499443974705</v>
      </c>
      <c r="AP41" s="9" t="e">
        <f t="shared" si="10"/>
        <v>#DIV/0!</v>
      </c>
      <c r="AQ41" s="9">
        <f t="shared" si="11"/>
        <v>1.1019219687689243</v>
      </c>
      <c r="AR41" s="9">
        <f t="shared" si="12"/>
        <v>1.0570659962635154</v>
      </c>
      <c r="AS41" s="9">
        <f t="shared" si="13"/>
        <v>1.0069152675098878</v>
      </c>
      <c r="AT41" s="9">
        <f t="shared" si="14"/>
        <v>1.0351634461521912</v>
      </c>
      <c r="AU41" s="9">
        <f t="shared" si="15"/>
        <v>1.000652528548124</v>
      </c>
      <c r="AV41" s="9">
        <f t="shared" si="16"/>
        <v>1</v>
      </c>
    </row>
    <row r="42" spans="1:48" ht="15.75">
      <c r="A42">
        <f t="shared" si="17"/>
        <v>38</v>
      </c>
      <c r="B42" s="9">
        <v>2020</v>
      </c>
      <c r="C42" s="9" t="s">
        <v>89</v>
      </c>
      <c r="D42" s="9" t="s">
        <v>5</v>
      </c>
      <c r="E42" s="7" t="s">
        <v>6</v>
      </c>
      <c r="F42" s="7" t="s">
        <v>86</v>
      </c>
      <c r="G42" s="7" t="s">
        <v>8</v>
      </c>
      <c r="H42" s="7" t="s">
        <v>9</v>
      </c>
      <c r="I42" s="9" t="s">
        <v>45</v>
      </c>
      <c r="J42" s="9">
        <v>500</v>
      </c>
      <c r="K42" s="9">
        <v>0.8</v>
      </c>
      <c r="L42" s="21">
        <f>'[247]Arc Results'!$I$10960+'[247]Arc Results'!$I$10971+'[247]Arc Results'!$I$10982+'[247]Arc Results'!$I$10993+'[247]Arc Results'!$I$11004+'[247]Arc Results'!$I$11015+'[247]Arc Results'!$I$11026+'[247]Arc Results'!$I$11037+'[247]Arc Results'!$I$11048+'[247]Arc Results'!$I$11059+'[247]Arc Results'!$I$11070+'[247]Arc Results'!$I$11081+'[247]Arc Results'!$I$11092+'[247]Arc Results'!$I$11103+'[247]Arc Results'!$I$11114+'[247]Arc Results'!$I$11125+'[247]Arc Results'!$I$11136+'[247]Arc Results'!$I$11147+'[247]Arc Results'!$I$11158+'[247]Arc Results'!$I$11169+'[247]Arc Results'!$I$11180+'[247]Arc Results'!$I$11191+'[247]Arc Results'!$I$11202+'[247]Arc Results'!$I$11213+'[247]Arc Results'!$I$11224+'[247]Arc Results'!$I$11235+'[247]Arc Results'!$I$11246+'[247]Arc Results'!$I$11257+'[247]Arc Results'!$I$11268</f>
        <v>4181.5848761430716</v>
      </c>
      <c r="M42" s="21">
        <f>'[247]Arc Results'!$I$257</f>
        <v>6165.6514285714529</v>
      </c>
      <c r="N42" s="21">
        <f t="shared" si="1"/>
        <v>5758.9478764478772</v>
      </c>
      <c r="O42" s="21">
        <f t="shared" si="2"/>
        <v>10402.972972972973</v>
      </c>
      <c r="P42" s="22">
        <f t="shared" si="3"/>
        <v>8405.9681467181472</v>
      </c>
      <c r="Q42" s="22">
        <f t="shared" si="4"/>
        <v>587.09135366388</v>
      </c>
      <c r="R42" s="22">
        <f t="shared" si="5"/>
        <v>590.93050193050192</v>
      </c>
      <c r="S42" s="22">
        <f t="shared" si="6"/>
        <v>670</v>
      </c>
      <c r="T42" s="22">
        <f t="shared" si="7"/>
        <v>6130</v>
      </c>
      <c r="U42" s="21" t="str">
        <f>[247]Log!$K$2</f>
        <v>329.604.019,80</v>
      </c>
      <c r="V42" s="21" t="str">
        <f>[247]Log!$J$2</f>
        <v>47.021.195,86</v>
      </c>
      <c r="W42" s="21" t="str">
        <f>[247]Log!$N$2</f>
        <v>71.948.395,79</v>
      </c>
      <c r="X42" s="23">
        <f t="shared" si="8"/>
        <v>0</v>
      </c>
      <c r="Y42" s="22"/>
      <c r="Z42" s="24">
        <f t="shared" si="9"/>
        <v>38711.562280304832</v>
      </c>
      <c r="AA42" s="22">
        <f>'[247]Arc Results'!$I$15</f>
        <v>335</v>
      </c>
      <c r="AB42" s="22">
        <f>'[247]Arc Results'!$I$26</f>
        <v>335</v>
      </c>
      <c r="AC42" s="22">
        <f>'[247]Arc Results'!$I$48</f>
        <v>279</v>
      </c>
      <c r="AD42" s="22">
        <f>'[247]Arc Results'!$I$59</f>
        <v>308.09135366387994</v>
      </c>
      <c r="AE42" s="22">
        <f>'[247]Arc Results'!$I$114</f>
        <v>282.70463320463318</v>
      </c>
      <c r="AF42" s="22">
        <f>'[247]Arc Results'!$I$125</f>
        <v>308.22586872586874</v>
      </c>
      <c r="AG42" s="22">
        <f>'[247]Arc Results'!$I$147</f>
        <v>2863.6534749034749</v>
      </c>
      <c r="AH42" s="22">
        <f>'[247]Arc Results'!$I$158</f>
        <v>2895.2944015444018</v>
      </c>
      <c r="AI42" s="22">
        <f>'[247]Arc Results'!$I$213</f>
        <v>5060.135135135135</v>
      </c>
      <c r="AJ42" s="22">
        <f>'[247]Arc Results'!$I$224</f>
        <v>5342.8378378378375</v>
      </c>
      <c r="AK42" s="22">
        <f>'[247]Arc Results'!$I$180</f>
        <v>3063</v>
      </c>
      <c r="AL42" s="22">
        <f>'[247]Arc Results'!$I$191</f>
        <v>3067</v>
      </c>
      <c r="AM42" s="22">
        <f>'[247]Arc Results'!$I$81</f>
        <v>4202.9840733590736</v>
      </c>
      <c r="AN42" s="22">
        <f>'[247]Arc Results'!$I$81</f>
        <v>4202.9840733590736</v>
      </c>
      <c r="AP42" s="9">
        <f t="shared" si="10"/>
        <v>1</v>
      </c>
      <c r="AQ42" s="9">
        <f t="shared" si="11"/>
        <v>1.0495516642892602</v>
      </c>
      <c r="AR42" s="9">
        <f t="shared" si="12"/>
        <v>1.0431882183063161</v>
      </c>
      <c r="AS42" s="9">
        <f t="shared" si="13"/>
        <v>1.0054942200068049</v>
      </c>
      <c r="AT42" s="9">
        <f t="shared" si="14"/>
        <v>1.027175183809202</v>
      </c>
      <c r="AU42" s="9">
        <f t="shared" si="15"/>
        <v>1.000652528548124</v>
      </c>
      <c r="AV42" s="9">
        <f t="shared" si="16"/>
        <v>1</v>
      </c>
    </row>
    <row r="43" spans="1:48" ht="15.75">
      <c r="A43">
        <f t="shared" si="17"/>
        <v>39</v>
      </c>
      <c r="B43" s="9">
        <v>2020</v>
      </c>
      <c r="C43" s="9" t="s">
        <v>89</v>
      </c>
      <c r="D43" s="9" t="s">
        <v>5</v>
      </c>
      <c r="E43" s="7" t="s">
        <v>6</v>
      </c>
      <c r="F43" s="20" t="s">
        <v>87</v>
      </c>
      <c r="G43" s="7" t="s">
        <v>8</v>
      </c>
      <c r="H43" s="7" t="s">
        <v>9</v>
      </c>
      <c r="I43" s="9" t="s">
        <v>45</v>
      </c>
      <c r="J43" s="9">
        <v>500</v>
      </c>
      <c r="K43" s="9">
        <v>0.8</v>
      </c>
      <c r="L43" s="21">
        <f>'[248]Arc Results'!$I$10960+'[248]Arc Results'!$I$10971+'[248]Arc Results'!$I$10982+'[248]Arc Results'!$I$10993+'[248]Arc Results'!$I$11004+'[248]Arc Results'!$I$11015+'[248]Arc Results'!$I$11026+'[248]Arc Results'!$I$11037+'[248]Arc Results'!$I$11048+'[248]Arc Results'!$I$11059+'[248]Arc Results'!$I$11070+'[248]Arc Results'!$I$11081+'[248]Arc Results'!$I$11092+'[248]Arc Results'!$I$11103+'[248]Arc Results'!$I$11114+'[248]Arc Results'!$I$11125+'[248]Arc Results'!$I$11136+'[248]Arc Results'!$I$11147+'[248]Arc Results'!$I$11158+'[248]Arc Results'!$I$11169+'[248]Arc Results'!$I$11180+'[248]Arc Results'!$I$11191+'[248]Arc Results'!$I$11202+'[248]Arc Results'!$I$11213+'[248]Arc Results'!$I$11224+'[248]Arc Results'!$I$11235+'[248]Arc Results'!$I$11246+'[248]Arc Results'!$I$11257+'[248]Arc Results'!$I$11268</f>
        <v>4037.9421564478753</v>
      </c>
      <c r="M43" s="21">
        <f>'[248]Arc Results'!$I$257</f>
        <v>6165.6514285714002</v>
      </c>
      <c r="N43" s="21">
        <f t="shared" si="1"/>
        <v>5703.5762548262555</v>
      </c>
      <c r="O43" s="21">
        <f t="shared" si="2"/>
        <v>9967.1511992237247</v>
      </c>
      <c r="P43" s="22">
        <f t="shared" si="3"/>
        <v>7534.1293436293436</v>
      </c>
      <c r="Q43" s="22">
        <f t="shared" si="4"/>
        <v>2247.864864864865</v>
      </c>
      <c r="R43" s="22">
        <f t="shared" si="5"/>
        <v>374</v>
      </c>
      <c r="S43" s="22">
        <f t="shared" si="6"/>
        <v>589.18918918918916</v>
      </c>
      <c r="T43" s="22">
        <f t="shared" si="7"/>
        <v>6130</v>
      </c>
      <c r="U43" s="21" t="str">
        <f>[248]Log!$K$2</f>
        <v>327.620.436,02</v>
      </c>
      <c r="V43" s="21" t="str">
        <f>[248]Log!$J$2</f>
        <v>47.021.195,86</v>
      </c>
      <c r="W43" s="21" t="str">
        <f>[248]Log!$N$2</f>
        <v>71.948.395,79</v>
      </c>
      <c r="X43" s="23">
        <f t="shared" si="8"/>
        <v>0</v>
      </c>
      <c r="Y43" s="22"/>
      <c r="Z43" s="24">
        <f t="shared" si="9"/>
        <v>38711.562280304774</v>
      </c>
      <c r="AA43" s="22">
        <f>'[248]Arc Results'!$I$15</f>
        <v>254.18918918918914</v>
      </c>
      <c r="AB43" s="22">
        <f>'[248]Arc Results'!$I$26</f>
        <v>335</v>
      </c>
      <c r="AC43" s="22">
        <f>'[248]Arc Results'!$I$48</f>
        <v>1003.2277992277992</v>
      </c>
      <c r="AD43" s="22">
        <f>'[248]Arc Results'!$I$59</f>
        <v>1244.6370656370657</v>
      </c>
      <c r="AE43" s="22">
        <f>'[248]Arc Results'!$I$114</f>
        <v>187</v>
      </c>
      <c r="AF43" s="22">
        <f>'[248]Arc Results'!$I$125</f>
        <v>187</v>
      </c>
      <c r="AG43" s="22">
        <f>'[248]Arc Results'!$I$147</f>
        <v>2832.0125482625485</v>
      </c>
      <c r="AH43" s="22">
        <f>'[248]Arc Results'!$I$158</f>
        <v>2871.5637065637065</v>
      </c>
      <c r="AI43" s="22">
        <f>'[248]Arc Results'!$I$213</f>
        <v>4836.3403884129129</v>
      </c>
      <c r="AJ43" s="22">
        <f>'[248]Arc Results'!$I$224</f>
        <v>5130.8108108108108</v>
      </c>
      <c r="AK43" s="22">
        <f>'[248]Arc Results'!$I$180</f>
        <v>3063</v>
      </c>
      <c r="AL43" s="22">
        <f>'[248]Arc Results'!$I$191</f>
        <v>3067</v>
      </c>
      <c r="AM43" s="22">
        <f>'[248]Arc Results'!$I$81</f>
        <v>3767.0646718146718</v>
      </c>
      <c r="AN43" s="22">
        <f>'[248]Arc Results'!$I$81</f>
        <v>3767.0646718146718</v>
      </c>
      <c r="AP43" s="9">
        <f t="shared" si="10"/>
        <v>1.1371559633027524</v>
      </c>
      <c r="AQ43" s="9">
        <f t="shared" si="11"/>
        <v>1.1073949195890738</v>
      </c>
      <c r="AR43" s="9">
        <f t="shared" si="12"/>
        <v>1</v>
      </c>
      <c r="AS43" s="9">
        <f t="shared" si="13"/>
        <v>1.0069344489376626</v>
      </c>
      <c r="AT43" s="9">
        <f t="shared" si="14"/>
        <v>1.0295440910358449</v>
      </c>
      <c r="AU43" s="9">
        <f t="shared" si="15"/>
        <v>1.000652528548124</v>
      </c>
      <c r="AV43" s="9">
        <f t="shared" si="16"/>
        <v>1</v>
      </c>
    </row>
    <row r="44" spans="1:48" ht="15.75">
      <c r="A44">
        <f t="shared" si="17"/>
        <v>40</v>
      </c>
      <c r="B44" s="9">
        <v>2020</v>
      </c>
      <c r="C44" s="9" t="s">
        <v>89</v>
      </c>
      <c r="D44" s="9" t="s">
        <v>88</v>
      </c>
      <c r="E44" s="7" t="s">
        <v>6</v>
      </c>
      <c r="F44" s="20" t="s">
        <v>7</v>
      </c>
      <c r="G44" s="7" t="s">
        <v>8</v>
      </c>
      <c r="H44" s="7" t="s">
        <v>9</v>
      </c>
      <c r="I44" s="9" t="s">
        <v>45</v>
      </c>
      <c r="J44" s="9">
        <v>500</v>
      </c>
      <c r="K44" s="9">
        <v>0.8</v>
      </c>
      <c r="L44" s="21">
        <f>'[249]Arc Results'!$I$10960+'[249]Arc Results'!$I$10971+'[249]Arc Results'!$I$10982+'[249]Arc Results'!$I$10993+'[249]Arc Results'!$I$11004+'[249]Arc Results'!$I$11015+'[249]Arc Results'!$I$11026+'[249]Arc Results'!$I$11037+'[249]Arc Results'!$I$11048+'[249]Arc Results'!$I$11059+'[249]Arc Results'!$I$11070+'[249]Arc Results'!$I$11081+'[249]Arc Results'!$I$11092+'[249]Arc Results'!$I$11103+'[249]Arc Results'!$I$11114+'[249]Arc Results'!$I$11125+'[249]Arc Results'!$I$11136+'[249]Arc Results'!$I$11147+'[249]Arc Results'!$I$11158+'[249]Arc Results'!$I$11169+'[249]Arc Results'!$I$11180+'[249]Arc Results'!$I$11191+'[249]Arc Results'!$I$11202+'[249]Arc Results'!$I$11213+'[249]Arc Results'!$I$11224+'[249]Arc Results'!$I$11235+'[249]Arc Results'!$I$11246+'[249]Arc Results'!$I$11257+'[249]Arc Results'!$I$11268</f>
        <v>3207.6363031802011</v>
      </c>
      <c r="M44" s="21">
        <f>'[249]Arc Results'!$I$257</f>
        <v>14223.844769725043</v>
      </c>
      <c r="N44" s="21">
        <f t="shared" si="1"/>
        <v>5589.0332326283988</v>
      </c>
      <c r="O44" s="21">
        <f t="shared" si="2"/>
        <v>8884.8338368580062</v>
      </c>
      <c r="P44" s="22">
        <f t="shared" si="3"/>
        <v>5537.5921450151054</v>
      </c>
      <c r="Q44" s="22">
        <f t="shared" si="4"/>
        <v>1360.8134441087614</v>
      </c>
      <c r="R44" s="22">
        <f t="shared" si="5"/>
        <v>453.87915407854985</v>
      </c>
      <c r="S44" s="22">
        <f t="shared" si="6"/>
        <v>289.30513595166161</v>
      </c>
      <c r="T44" s="22">
        <f t="shared" si="7"/>
        <v>6130</v>
      </c>
      <c r="U44" s="21" t="str">
        <f>[249]Log!$K$2</f>
        <v>339.985.632,34</v>
      </c>
      <c r="V44" s="21" t="str">
        <f>[249]Log!$J$2</f>
        <v>88.973.415,72</v>
      </c>
      <c r="W44" s="21" t="str">
        <f>[249]Log!$N$2</f>
        <v>35.380.701,91</v>
      </c>
      <c r="X44" s="23">
        <f t="shared" si="8"/>
        <v>0</v>
      </c>
      <c r="Y44" s="22"/>
      <c r="Z44" s="24">
        <f t="shared" si="9"/>
        <v>42469.301718365532</v>
      </c>
      <c r="AA44" s="22">
        <f>'[249]Arc Results'!$I$15</f>
        <v>108.48942598187311</v>
      </c>
      <c r="AB44" s="22">
        <f>'[249]Arc Results'!$I$26</f>
        <v>180.81570996978851</v>
      </c>
      <c r="AC44" s="22">
        <f>'[249]Arc Results'!$I$48</f>
        <v>562.34592145015108</v>
      </c>
      <c r="AD44" s="22">
        <f>'[249]Arc Results'!$I$59</f>
        <v>798.46752265861028</v>
      </c>
      <c r="AE44" s="22">
        <f>'[249]Arc Results'!$I$114</f>
        <v>216.95468277945619</v>
      </c>
      <c r="AF44" s="22">
        <f>'[249]Arc Results'!$I$125</f>
        <v>236.92447129909365</v>
      </c>
      <c r="AG44" s="22">
        <f>'[249]Arc Results'!$I$147</f>
        <v>2782.1374622356498</v>
      </c>
      <c r="AH44" s="22">
        <f>'[249]Arc Results'!$I$158</f>
        <v>2806.8957703927495</v>
      </c>
      <c r="AI44" s="22">
        <f>'[249]Arc Results'!$I$213</f>
        <v>4331.8126888217521</v>
      </c>
      <c r="AJ44" s="22">
        <f>'[249]Arc Results'!$I$224</f>
        <v>4553.0211480362541</v>
      </c>
      <c r="AK44" s="22">
        <f>'[249]Arc Results'!$I$180</f>
        <v>3063</v>
      </c>
      <c r="AL44" s="22">
        <f>'[249]Arc Results'!$I$191</f>
        <v>3067</v>
      </c>
      <c r="AM44" s="22">
        <f>'[249]Arc Results'!$I$81</f>
        <v>2768.7960725075527</v>
      </c>
      <c r="AN44" s="22">
        <f>'[249]Arc Results'!$I$81</f>
        <v>2768.7960725075527</v>
      </c>
      <c r="AP44" s="9">
        <f t="shared" si="10"/>
        <v>1.25</v>
      </c>
      <c r="AQ44" s="9">
        <f t="shared" si="11"/>
        <v>1.1735150414854274</v>
      </c>
      <c r="AR44" s="9">
        <f t="shared" si="12"/>
        <v>1.0439980297402718</v>
      </c>
      <c r="AS44" s="9">
        <f t="shared" si="13"/>
        <v>1.0044298015643498</v>
      </c>
      <c r="AT44" s="9">
        <f t="shared" si="14"/>
        <v>1.0248973096488128</v>
      </c>
      <c r="AU44" s="9">
        <f t="shared" si="15"/>
        <v>1.000652528548124</v>
      </c>
      <c r="AV44" s="9">
        <f t="shared" si="16"/>
        <v>1</v>
      </c>
    </row>
    <row r="45" spans="1:48" ht="15.75">
      <c r="A45">
        <f t="shared" si="17"/>
        <v>41</v>
      </c>
      <c r="B45" s="9">
        <v>2020</v>
      </c>
      <c r="C45" s="9" t="s">
        <v>89</v>
      </c>
      <c r="D45" s="9" t="s">
        <v>88</v>
      </c>
      <c r="E45" s="7" t="s">
        <v>6</v>
      </c>
      <c r="F45" s="20" t="s">
        <v>76</v>
      </c>
      <c r="G45" s="7" t="s">
        <v>8</v>
      </c>
      <c r="H45" s="7" t="s">
        <v>9</v>
      </c>
      <c r="I45" s="9" t="s">
        <v>45</v>
      </c>
      <c r="J45" s="9">
        <v>500</v>
      </c>
      <c r="K45" s="9">
        <v>0.8</v>
      </c>
      <c r="L45" s="21">
        <f>'[250]Arc Results'!$I$10960+'[250]Arc Results'!$I$10971+'[250]Arc Results'!$I$10982+'[250]Arc Results'!$I$10993+'[250]Arc Results'!$I$11004+'[250]Arc Results'!$I$11015+'[250]Arc Results'!$I$11026+'[250]Arc Results'!$I$11037+'[250]Arc Results'!$I$11048+'[250]Arc Results'!$I$11059+'[250]Arc Results'!$I$11070+'[250]Arc Results'!$I$11081+'[250]Arc Results'!$I$11092+'[250]Arc Results'!$I$11103+'[250]Arc Results'!$I$11114+'[250]Arc Results'!$I$11125+'[250]Arc Results'!$I$11136+'[250]Arc Results'!$I$11147+'[250]Arc Results'!$I$11158+'[250]Arc Results'!$I$11169+'[250]Arc Results'!$I$11180+'[250]Arc Results'!$I$11191+'[250]Arc Results'!$I$11202+'[250]Arc Results'!$I$11213+'[250]Arc Results'!$I$11224+'[250]Arc Results'!$I$11235+'[250]Arc Results'!$I$11246+'[250]Arc Results'!$I$11257+'[250]Arc Results'!$I$11268</f>
        <v>3062.7278817300507</v>
      </c>
      <c r="M45" s="21">
        <f>'[250]Arc Results'!$I$257</f>
        <v>14223.844769725047</v>
      </c>
      <c r="N45" s="21">
        <f t="shared" si="1"/>
        <v>6124</v>
      </c>
      <c r="O45" s="21">
        <f t="shared" si="2"/>
        <v>8774.2296072507561</v>
      </c>
      <c r="P45" s="22">
        <f t="shared" si="3"/>
        <v>5310.1941087613295</v>
      </c>
      <c r="Q45" s="22">
        <f t="shared" si="4"/>
        <v>1219.1404833836857</v>
      </c>
      <c r="R45" s="22">
        <f t="shared" si="5"/>
        <v>443.89425981873109</v>
      </c>
      <c r="S45" s="22">
        <f t="shared" si="6"/>
        <v>253.1419939577039</v>
      </c>
      <c r="T45" s="22">
        <f t="shared" si="7"/>
        <v>6130</v>
      </c>
      <c r="U45" s="21" t="str">
        <f>[250]Log!$K$2</f>
        <v>322.393.651,66</v>
      </c>
      <c r="V45" s="21" t="str">
        <f>[250]Log!$J$2</f>
        <v>88.973.415,72</v>
      </c>
      <c r="W45" s="21" t="str">
        <f>[250]Log!$N$2</f>
        <v>35.380.701,91</v>
      </c>
      <c r="X45" s="23">
        <f t="shared" si="8"/>
        <v>0</v>
      </c>
      <c r="Y45" s="22"/>
      <c r="Z45" s="24">
        <f t="shared" si="9"/>
        <v>42478.445222897244</v>
      </c>
      <c r="AA45" s="22">
        <f>'[250]Arc Results'!$I$15</f>
        <v>90.407854984894257</v>
      </c>
      <c r="AB45" s="22">
        <f>'[250]Arc Results'!$I$26</f>
        <v>162.73413897280966</v>
      </c>
      <c r="AC45" s="22">
        <f>'[250]Arc Results'!$I$48</f>
        <v>515.1216012084592</v>
      </c>
      <c r="AD45" s="22">
        <f>'[250]Arc Results'!$I$59</f>
        <v>704.01888217522651</v>
      </c>
      <c r="AE45" s="22">
        <f>'[250]Arc Results'!$I$114</f>
        <v>211.96223564954681</v>
      </c>
      <c r="AF45" s="22">
        <f>'[250]Arc Results'!$I$125</f>
        <v>231.93202416918427</v>
      </c>
      <c r="AG45" s="22">
        <f>'[250]Arc Results'!$I$147</f>
        <v>2876.5285120845924</v>
      </c>
      <c r="AH45" s="22">
        <f>'[250]Arc Results'!$I$158</f>
        <v>3247.471487915408</v>
      </c>
      <c r="AI45" s="22">
        <f>'[250]Arc Results'!$I$213</f>
        <v>4276.510574018127</v>
      </c>
      <c r="AJ45" s="22">
        <f>'[250]Arc Results'!$I$224</f>
        <v>4497.7190332326281</v>
      </c>
      <c r="AK45" s="22">
        <f>'[250]Arc Results'!$I$180</f>
        <v>3063</v>
      </c>
      <c r="AL45" s="22">
        <f>'[250]Arc Results'!$I$191</f>
        <v>3067</v>
      </c>
      <c r="AM45" s="22">
        <f>'[250]Arc Results'!$I$81</f>
        <v>2655.0970543806648</v>
      </c>
      <c r="AN45" s="22">
        <f>'[250]Arc Results'!$I$81</f>
        <v>2655.0970543806648</v>
      </c>
      <c r="AP45" s="9">
        <f t="shared" si="10"/>
        <v>1.2857142857142858</v>
      </c>
      <c r="AQ45" s="9">
        <f t="shared" si="11"/>
        <v>1.1549429975801384</v>
      </c>
      <c r="AR45" s="9">
        <f t="shared" si="12"/>
        <v>1.0449877151549387</v>
      </c>
      <c r="AS45" s="9">
        <f t="shared" si="13"/>
        <v>1.060572007810388</v>
      </c>
      <c r="AT45" s="9">
        <f t="shared" si="14"/>
        <v>1.0252111546102807</v>
      </c>
      <c r="AU45" s="9">
        <f t="shared" si="15"/>
        <v>1.000652528548124</v>
      </c>
      <c r="AV45" s="9">
        <f t="shared" si="16"/>
        <v>1</v>
      </c>
    </row>
    <row r="46" spans="1:48" ht="15.75">
      <c r="A46">
        <f t="shared" si="17"/>
        <v>42</v>
      </c>
      <c r="B46" s="9">
        <v>2020</v>
      </c>
      <c r="C46" s="9" t="s">
        <v>89</v>
      </c>
      <c r="D46" s="9" t="s">
        <v>88</v>
      </c>
      <c r="E46" s="7" t="s">
        <v>6</v>
      </c>
      <c r="F46" s="20" t="s">
        <v>77</v>
      </c>
      <c r="G46" s="7" t="s">
        <v>8</v>
      </c>
      <c r="H46" s="7" t="s">
        <v>9</v>
      </c>
      <c r="I46" s="9" t="s">
        <v>45</v>
      </c>
      <c r="J46" s="9">
        <v>500</v>
      </c>
      <c r="K46" s="9">
        <v>0.8</v>
      </c>
      <c r="L46" s="21">
        <f>'[251]Arc Results'!$I$10960+'[251]Arc Results'!$I$10971+'[251]Arc Results'!$I$10982+'[251]Arc Results'!$I$10993+'[251]Arc Results'!$I$11004+'[251]Arc Results'!$I$11015+'[251]Arc Results'!$I$11026+'[251]Arc Results'!$I$11037+'[251]Arc Results'!$I$11048+'[251]Arc Results'!$I$11059+'[251]Arc Results'!$I$11070+'[251]Arc Results'!$I$11081+'[251]Arc Results'!$I$11092+'[251]Arc Results'!$I$11103+'[251]Arc Results'!$I$11114+'[251]Arc Results'!$I$11125+'[251]Arc Results'!$I$11136+'[251]Arc Results'!$I$11147+'[251]Arc Results'!$I$11158+'[251]Arc Results'!$I$11169+'[251]Arc Results'!$I$11180+'[251]Arc Results'!$I$11191+'[251]Arc Results'!$I$11202+'[251]Arc Results'!$I$11213+'[251]Arc Results'!$I$11224+'[251]Arc Results'!$I$11235+'[251]Arc Results'!$I$11246+'[251]Arc Results'!$I$11257+'[251]Arc Results'!$I$11268</f>
        <v>3138.9000494037577</v>
      </c>
      <c r="M46" s="21">
        <f>'[251]Arc Results'!$I$257</f>
        <v>14223.844769725056</v>
      </c>
      <c r="N46" s="21">
        <f t="shared" si="1"/>
        <v>5490.0000000000036</v>
      </c>
      <c r="O46" s="21">
        <f t="shared" si="2"/>
        <v>11503.999999999991</v>
      </c>
      <c r="P46" s="22">
        <f t="shared" si="3"/>
        <v>4628</v>
      </c>
      <c r="Q46" s="22">
        <f t="shared" si="4"/>
        <v>630.28690119246528</v>
      </c>
      <c r="R46" s="22">
        <f t="shared" si="5"/>
        <v>374</v>
      </c>
      <c r="S46" s="22">
        <f t="shared" si="6"/>
        <v>0</v>
      </c>
      <c r="T46" s="22">
        <f t="shared" si="7"/>
        <v>6126</v>
      </c>
      <c r="U46" s="21" t="str">
        <f>[251]Log!$K$2</f>
        <v>309.145.848,06</v>
      </c>
      <c r="V46" s="21" t="str">
        <f>[251]Log!$J$2</f>
        <v>88.973.415,72</v>
      </c>
      <c r="W46" s="21" t="str">
        <f>[251]Log!$N$2</f>
        <v>35.380.701,91</v>
      </c>
      <c r="X46" s="23">
        <f t="shared" si="8"/>
        <v>0</v>
      </c>
      <c r="Y46" s="22"/>
      <c r="Z46" s="24">
        <f t="shared" si="9"/>
        <v>42976.131670917515</v>
      </c>
      <c r="AA46" s="22">
        <f>'[251]Arc Results'!$I$15</f>
        <v>0</v>
      </c>
      <c r="AB46" s="22">
        <f>'[251]Arc Results'!$I$26</f>
        <v>0</v>
      </c>
      <c r="AC46" s="22">
        <f>'[251]Arc Results'!$I$48</f>
        <v>279</v>
      </c>
      <c r="AD46" s="22">
        <f>'[251]Arc Results'!$I$59</f>
        <v>351.28690119246528</v>
      </c>
      <c r="AE46" s="22">
        <f>'[251]Arc Results'!$I$114</f>
        <v>187</v>
      </c>
      <c r="AF46" s="22">
        <f>'[251]Arc Results'!$I$125</f>
        <v>187</v>
      </c>
      <c r="AG46" s="22">
        <f>'[251]Arc Results'!$I$147</f>
        <v>2745</v>
      </c>
      <c r="AH46" s="22">
        <f>'[251]Arc Results'!$I$158</f>
        <v>2745.0000000000036</v>
      </c>
      <c r="AI46" s="22">
        <f>'[251]Arc Results'!$I$213</f>
        <v>5176.7999999999902</v>
      </c>
      <c r="AJ46" s="22">
        <f>'[251]Arc Results'!$I$224</f>
        <v>6327.2000000000007</v>
      </c>
      <c r="AK46" s="22">
        <f>'[251]Arc Results'!$I$180</f>
        <v>3063</v>
      </c>
      <c r="AL46" s="22">
        <f>'[251]Arc Results'!$I$191</f>
        <v>3063.0000000000005</v>
      </c>
      <c r="AM46" s="22">
        <f>'[251]Arc Results'!$I$81</f>
        <v>2314</v>
      </c>
      <c r="AN46" s="22">
        <f>'[251]Arc Results'!$I$81</f>
        <v>2314</v>
      </c>
      <c r="AP46" s="9" t="e">
        <f t="shared" si="10"/>
        <v>#DIV/0!</v>
      </c>
      <c r="AQ46" s="9">
        <f t="shared" si="11"/>
        <v>1.1146888838332238</v>
      </c>
      <c r="AR46" s="9">
        <f t="shared" si="12"/>
        <v>1</v>
      </c>
      <c r="AS46" s="9">
        <f t="shared" si="13"/>
        <v>1.0000000000000007</v>
      </c>
      <c r="AT46" s="9">
        <f t="shared" si="14"/>
        <v>1.100000000000001</v>
      </c>
      <c r="AU46" s="9">
        <f t="shared" si="15"/>
        <v>1.0000000000000002</v>
      </c>
      <c r="AV46" s="9">
        <f t="shared" si="16"/>
        <v>1</v>
      </c>
    </row>
    <row r="47" spans="1:48" ht="15.75">
      <c r="A47">
        <f t="shared" si="17"/>
        <v>43</v>
      </c>
      <c r="B47" s="9">
        <v>2020</v>
      </c>
      <c r="C47" s="9" t="s">
        <v>89</v>
      </c>
      <c r="D47" s="9" t="s">
        <v>88</v>
      </c>
      <c r="E47" s="7" t="s">
        <v>6</v>
      </c>
      <c r="F47" s="20" t="s">
        <v>78</v>
      </c>
      <c r="G47" s="7" t="s">
        <v>8</v>
      </c>
      <c r="H47" s="7" t="s">
        <v>9</v>
      </c>
      <c r="I47" s="9" t="s">
        <v>45</v>
      </c>
      <c r="J47" s="9">
        <v>500</v>
      </c>
      <c r="K47" s="9">
        <v>0.8</v>
      </c>
      <c r="L47" s="21">
        <f>'[252]Arc Results'!$I$10960+'[252]Arc Results'!$I$10971+'[252]Arc Results'!$I$10982+'[252]Arc Results'!$I$10993+'[252]Arc Results'!$I$11004+'[252]Arc Results'!$I$11015+'[252]Arc Results'!$I$11026+'[252]Arc Results'!$I$11037+'[252]Arc Results'!$I$11048+'[252]Arc Results'!$I$11059+'[252]Arc Results'!$I$11070+'[252]Arc Results'!$I$11081+'[252]Arc Results'!$I$11092+'[252]Arc Results'!$I$11103+'[252]Arc Results'!$I$11114+'[252]Arc Results'!$I$11125+'[252]Arc Results'!$I$11136+'[252]Arc Results'!$I$11147+'[252]Arc Results'!$I$11158+'[252]Arc Results'!$I$11169+'[252]Arc Results'!$I$11180+'[252]Arc Results'!$I$11191+'[252]Arc Results'!$I$11202+'[252]Arc Results'!$I$11213+'[252]Arc Results'!$I$11224+'[252]Arc Results'!$I$11235+'[252]Arc Results'!$I$11246+'[252]Arc Results'!$I$11257+'[252]Arc Results'!$I$11268</f>
        <v>3406.5303607170704</v>
      </c>
      <c r="M47" s="21">
        <f>'[252]Arc Results'!$I$257</f>
        <v>14223.844769725038</v>
      </c>
      <c r="N47" s="21">
        <f t="shared" si="1"/>
        <v>5490.0000000000018</v>
      </c>
      <c r="O47" s="21">
        <f t="shared" si="2"/>
        <v>8000.0000000000045</v>
      </c>
      <c r="P47" s="22">
        <f t="shared" si="3"/>
        <v>7516.8606226266093</v>
      </c>
      <c r="Q47" s="22">
        <f t="shared" si="4"/>
        <v>558.00000000000068</v>
      </c>
      <c r="R47" s="22">
        <f t="shared" si="5"/>
        <v>374</v>
      </c>
      <c r="S47" s="22">
        <f t="shared" si="6"/>
        <v>0</v>
      </c>
      <c r="T47" s="22">
        <f t="shared" si="7"/>
        <v>6126</v>
      </c>
      <c r="U47" s="21" t="str">
        <f>[252]Log!$K$2</f>
        <v>317.256.212,86</v>
      </c>
      <c r="V47" s="21" t="str">
        <f>[252]Log!$J$2</f>
        <v>88.973.415,72</v>
      </c>
      <c r="W47" s="21" t="str">
        <f>[252]Log!$N$2</f>
        <v>35.380.701,91</v>
      </c>
      <c r="X47" s="23">
        <f t="shared" si="8"/>
        <v>0</v>
      </c>
      <c r="Y47" s="22"/>
      <c r="Z47" s="24">
        <f t="shared" si="9"/>
        <v>42288.705392351651</v>
      </c>
      <c r="AA47" s="22">
        <f>'[252]Arc Results'!$I$15</f>
        <v>0</v>
      </c>
      <c r="AB47" s="22">
        <f>'[252]Arc Results'!$I$26</f>
        <v>0</v>
      </c>
      <c r="AC47" s="22">
        <f>'[252]Arc Results'!$I$48</f>
        <v>279</v>
      </c>
      <c r="AD47" s="22">
        <f>'[252]Arc Results'!$I$59</f>
        <v>279.00000000000068</v>
      </c>
      <c r="AE47" s="22">
        <f>'[252]Arc Results'!$I$114</f>
        <v>187</v>
      </c>
      <c r="AF47" s="22">
        <f>'[252]Arc Results'!$I$125</f>
        <v>187</v>
      </c>
      <c r="AG47" s="22">
        <f>'[252]Arc Results'!$I$147</f>
        <v>2745</v>
      </c>
      <c r="AH47" s="22">
        <f>'[252]Arc Results'!$I$158</f>
        <v>2745.0000000000018</v>
      </c>
      <c r="AI47" s="22">
        <f>'[252]Arc Results'!$I$213</f>
        <v>4000</v>
      </c>
      <c r="AJ47" s="22">
        <f>'[252]Arc Results'!$I$224</f>
        <v>4000.0000000000045</v>
      </c>
      <c r="AK47" s="22">
        <f>'[252]Arc Results'!$I$180</f>
        <v>3063</v>
      </c>
      <c r="AL47" s="22">
        <f>'[252]Arc Results'!$I$191</f>
        <v>3063.0000000000005</v>
      </c>
      <c r="AM47" s="22">
        <f>'[252]Arc Results'!$I$81</f>
        <v>3758.4303113133046</v>
      </c>
      <c r="AN47" s="22">
        <f>'[252]Arc Results'!$I$81</f>
        <v>3758.4303113133046</v>
      </c>
      <c r="AP47" s="9" t="e">
        <f t="shared" si="10"/>
        <v>#DIV/0!</v>
      </c>
      <c r="AQ47" s="9">
        <f t="shared" si="11"/>
        <v>1.0000000000000013</v>
      </c>
      <c r="AR47" s="9">
        <f t="shared" si="12"/>
        <v>1</v>
      </c>
      <c r="AS47" s="9">
        <f t="shared" si="13"/>
        <v>1.0000000000000002</v>
      </c>
      <c r="AT47" s="9">
        <f t="shared" si="14"/>
        <v>1.0000000000000007</v>
      </c>
      <c r="AU47" s="9">
        <f t="shared" si="15"/>
        <v>1.0000000000000002</v>
      </c>
      <c r="AV47" s="9">
        <f t="shared" si="16"/>
        <v>1</v>
      </c>
    </row>
    <row r="48" spans="1:48" ht="15.75">
      <c r="A48">
        <f t="shared" si="17"/>
        <v>44</v>
      </c>
      <c r="B48" s="9">
        <v>2020</v>
      </c>
      <c r="C48" s="9" t="s">
        <v>89</v>
      </c>
      <c r="D48" s="9" t="s">
        <v>88</v>
      </c>
      <c r="E48" s="7" t="s">
        <v>6</v>
      </c>
      <c r="F48" s="20" t="s">
        <v>79</v>
      </c>
      <c r="G48" s="7" t="s">
        <v>8</v>
      </c>
      <c r="H48" s="7" t="s">
        <v>9</v>
      </c>
      <c r="I48" s="9" t="s">
        <v>45</v>
      </c>
      <c r="J48" s="9">
        <v>500</v>
      </c>
      <c r="K48" s="9">
        <v>0.8</v>
      </c>
      <c r="L48" s="21">
        <f>'[253]Arc Results'!$I$10960+'[253]Arc Results'!$I$10971+'[253]Arc Results'!$I$10982+'[253]Arc Results'!$I$10993+'[253]Arc Results'!$I$11004+'[253]Arc Results'!$I$11015+'[253]Arc Results'!$I$11026+'[253]Arc Results'!$I$11037+'[253]Arc Results'!$I$11048+'[253]Arc Results'!$I$11059+'[253]Arc Results'!$I$11070+'[253]Arc Results'!$I$11081+'[253]Arc Results'!$I$11092+'[253]Arc Results'!$I$11103+'[253]Arc Results'!$I$11114+'[253]Arc Results'!$I$11125+'[253]Arc Results'!$I$11136+'[253]Arc Results'!$I$11147+'[253]Arc Results'!$I$11158+'[253]Arc Results'!$I$11169+'[253]Arc Results'!$I$11180+'[253]Arc Results'!$I$11191+'[253]Arc Results'!$I$11202+'[253]Arc Results'!$I$11213+'[253]Arc Results'!$I$11224+'[253]Arc Results'!$I$11235+'[253]Arc Results'!$I$11246+'[253]Arc Results'!$I$11257+'[253]Arc Results'!$I$11268</f>
        <v>3206.7393998569396</v>
      </c>
      <c r="M48" s="21">
        <f>'[253]Arc Results'!$I$257</f>
        <v>14223.844769725045</v>
      </c>
      <c r="N48" s="21">
        <f t="shared" si="1"/>
        <v>5576.6540785498491</v>
      </c>
      <c r="O48" s="21">
        <f t="shared" si="2"/>
        <v>8786.6845598027394</v>
      </c>
      <c r="P48" s="22">
        <f t="shared" si="3"/>
        <v>5310.1941087613295</v>
      </c>
      <c r="Q48" s="22">
        <f t="shared" si="4"/>
        <v>1266.3648036253776</v>
      </c>
      <c r="R48" s="22">
        <f t="shared" si="5"/>
        <v>443.89425981873109</v>
      </c>
      <c r="S48" s="22">
        <f t="shared" si="6"/>
        <v>670</v>
      </c>
      <c r="T48" s="22">
        <f t="shared" si="7"/>
        <v>6129.9999999999991</v>
      </c>
      <c r="U48" s="21" t="str">
        <f>[253]Log!$K$2</f>
        <v>338.106.304,32</v>
      </c>
      <c r="V48" s="21" t="str">
        <f>[253]Log!$J$2</f>
        <v>88.973.415,72</v>
      </c>
      <c r="W48" s="21" t="str">
        <f>[253]Log!$N$2</f>
        <v>35.380.701,91</v>
      </c>
      <c r="X48" s="23">
        <f t="shared" si="8"/>
        <v>0</v>
      </c>
      <c r="Y48" s="22"/>
      <c r="Z48" s="24">
        <f t="shared" si="9"/>
        <v>42407.63658028307</v>
      </c>
      <c r="AA48" s="22">
        <f>'[253]Arc Results'!$I$15</f>
        <v>335</v>
      </c>
      <c r="AB48" s="22">
        <f>'[253]Arc Results'!$I$26</f>
        <v>335</v>
      </c>
      <c r="AC48" s="22">
        <f>'[253]Arc Results'!$I$48</f>
        <v>515.1216012084592</v>
      </c>
      <c r="AD48" s="22">
        <f>'[253]Arc Results'!$I$59</f>
        <v>751.24320241691839</v>
      </c>
      <c r="AE48" s="22">
        <f>'[253]Arc Results'!$I$114</f>
        <v>211.96223564954681</v>
      </c>
      <c r="AF48" s="22">
        <f>'[253]Arc Results'!$I$125</f>
        <v>231.93202416918427</v>
      </c>
      <c r="AG48" s="22">
        <f>'[253]Arc Results'!$I$147</f>
        <v>2775.9478851963745</v>
      </c>
      <c r="AH48" s="22">
        <f>'[253]Arc Results'!$I$158</f>
        <v>2800.7061933534742</v>
      </c>
      <c r="AI48" s="22">
        <f>'[253]Arc Results'!$I$213</f>
        <v>4276.510574018127</v>
      </c>
      <c r="AJ48" s="22">
        <f>'[253]Arc Results'!$I$224</f>
        <v>4510.1739857846114</v>
      </c>
      <c r="AK48" s="22">
        <f>'[253]Arc Results'!$I$180</f>
        <v>3063</v>
      </c>
      <c r="AL48" s="22">
        <f>'[253]Arc Results'!$I$191</f>
        <v>3066.9999999999991</v>
      </c>
      <c r="AM48" s="22">
        <f>'[253]Arc Results'!$I$81</f>
        <v>2655.0970543806648</v>
      </c>
      <c r="AN48" s="22">
        <f>'[253]Arc Results'!$I$81</f>
        <v>2655.0970543806648</v>
      </c>
      <c r="AP48" s="9">
        <f t="shared" si="10"/>
        <v>1</v>
      </c>
      <c r="AQ48" s="9">
        <f t="shared" si="11"/>
        <v>1.1864562253566153</v>
      </c>
      <c r="AR48" s="9">
        <f t="shared" si="12"/>
        <v>1.0449877151549387</v>
      </c>
      <c r="AS48" s="9">
        <f t="shared" si="13"/>
        <v>1.0044396349151958</v>
      </c>
      <c r="AT48" s="9">
        <f t="shared" si="14"/>
        <v>1.0265928986270254</v>
      </c>
      <c r="AU48" s="9">
        <f t="shared" si="15"/>
        <v>1.0006525285481238</v>
      </c>
      <c r="AV48" s="9">
        <f t="shared" si="16"/>
        <v>1</v>
      </c>
    </row>
    <row r="49" spans="1:48" ht="15.75">
      <c r="A49">
        <f t="shared" si="17"/>
        <v>45</v>
      </c>
      <c r="B49" s="9">
        <v>2020</v>
      </c>
      <c r="C49" s="9" t="s">
        <v>89</v>
      </c>
      <c r="D49" s="9" t="s">
        <v>88</v>
      </c>
      <c r="E49" s="7" t="s">
        <v>6</v>
      </c>
      <c r="F49" s="20" t="s">
        <v>80</v>
      </c>
      <c r="G49" s="7" t="s">
        <v>8</v>
      </c>
      <c r="H49" s="7" t="s">
        <v>9</v>
      </c>
      <c r="I49" s="9" t="s">
        <v>45</v>
      </c>
      <c r="J49" s="9">
        <v>500</v>
      </c>
      <c r="K49" s="9">
        <v>0.8</v>
      </c>
      <c r="L49" s="21">
        <f>'[254]Arc Results'!$I$10960+'[254]Arc Results'!$I$10971+'[254]Arc Results'!$I$10982+'[254]Arc Results'!$I$10993+'[254]Arc Results'!$I$11004+'[254]Arc Results'!$I$11015+'[254]Arc Results'!$I$11026+'[254]Arc Results'!$I$11037+'[254]Arc Results'!$I$11048+'[254]Arc Results'!$I$11059+'[254]Arc Results'!$I$11070+'[254]Arc Results'!$I$11081+'[254]Arc Results'!$I$11092+'[254]Arc Results'!$I$11103+'[254]Arc Results'!$I$11114+'[254]Arc Results'!$I$11125+'[254]Arc Results'!$I$11136+'[254]Arc Results'!$I$11147+'[254]Arc Results'!$I$11158+'[254]Arc Results'!$I$11169+'[254]Arc Results'!$I$11180+'[254]Arc Results'!$I$11191+'[254]Arc Results'!$I$11202+'[254]Arc Results'!$I$11213+'[254]Arc Results'!$I$11224+'[254]Arc Results'!$I$11235+'[254]Arc Results'!$I$11246+'[254]Arc Results'!$I$11257+'[254]Arc Results'!$I$11268</f>
        <v>3216.6657593735522</v>
      </c>
      <c r="M49" s="21">
        <f>'[254]Arc Results'!$I$257</f>
        <v>14223.844769725043</v>
      </c>
      <c r="N49" s="21">
        <f t="shared" si="1"/>
        <v>5527.1374622356489</v>
      </c>
      <c r="O49" s="21">
        <f t="shared" si="2"/>
        <v>8331.8126888217521</v>
      </c>
      <c r="P49" s="22">
        <f t="shared" si="3"/>
        <v>4628</v>
      </c>
      <c r="Q49" s="22">
        <f t="shared" si="4"/>
        <v>3219.9999999999964</v>
      </c>
      <c r="R49" s="22">
        <f t="shared" si="5"/>
        <v>403.95468277945616</v>
      </c>
      <c r="S49" s="22">
        <f t="shared" si="6"/>
        <v>108.48942598187311</v>
      </c>
      <c r="T49" s="22">
        <f t="shared" si="7"/>
        <v>6126</v>
      </c>
      <c r="U49" s="21" t="str">
        <f>[254]Log!$K$2</f>
        <v>332.354.290,74</v>
      </c>
      <c r="V49" s="21" t="str">
        <f>[254]Log!$J$2</f>
        <v>88.973.415,72</v>
      </c>
      <c r="W49" s="21" t="str">
        <f>[254]Log!$N$2</f>
        <v>35.380.701,91</v>
      </c>
      <c r="X49" s="23">
        <f t="shared" si="8"/>
        <v>0</v>
      </c>
      <c r="Y49" s="22"/>
      <c r="Z49" s="24">
        <f t="shared" si="9"/>
        <v>42569.239029543773</v>
      </c>
      <c r="AA49" s="22">
        <f>'[254]Arc Results'!$I$15</f>
        <v>18.081570996978851</v>
      </c>
      <c r="AB49" s="22">
        <f>'[254]Arc Results'!$I$26</f>
        <v>90.407854984894257</v>
      </c>
      <c r="AC49" s="22">
        <f>'[254]Arc Results'!$I$48</f>
        <v>1448.9999999999964</v>
      </c>
      <c r="AD49" s="22">
        <f>'[254]Arc Results'!$I$59</f>
        <v>1771.0000000000002</v>
      </c>
      <c r="AE49" s="22">
        <f>'[254]Arc Results'!$I$114</f>
        <v>191.99244712990935</v>
      </c>
      <c r="AF49" s="22">
        <f>'[254]Arc Results'!$I$125</f>
        <v>211.96223564954681</v>
      </c>
      <c r="AG49" s="22">
        <f>'[254]Arc Results'!$I$147</f>
        <v>2751.1895770392748</v>
      </c>
      <c r="AH49" s="22">
        <f>'[254]Arc Results'!$I$158</f>
        <v>2775.9478851963745</v>
      </c>
      <c r="AI49" s="22">
        <f>'[254]Arc Results'!$I$213</f>
        <v>4055.3021148036255</v>
      </c>
      <c r="AJ49" s="22">
        <f>'[254]Arc Results'!$I$224</f>
        <v>4276.510574018127</v>
      </c>
      <c r="AK49" s="22">
        <f>'[254]Arc Results'!$I$180</f>
        <v>3063</v>
      </c>
      <c r="AL49" s="22">
        <f>'[254]Arc Results'!$I$191</f>
        <v>3063</v>
      </c>
      <c r="AM49" s="22">
        <f>'[254]Arc Results'!$I$81</f>
        <v>2314</v>
      </c>
      <c r="AN49" s="22">
        <f>'[254]Arc Results'!$I$81</f>
        <v>2314</v>
      </c>
      <c r="AP49" s="9">
        <f t="shared" si="10"/>
        <v>1.6666666666666665</v>
      </c>
      <c r="AQ49" s="9">
        <f t="shared" si="11"/>
        <v>1.1000000000000014</v>
      </c>
      <c r="AR49" s="9">
        <f t="shared" si="12"/>
        <v>1.0494357148733444</v>
      </c>
      <c r="AS49" s="9">
        <f t="shared" si="13"/>
        <v>1.0044794087945637</v>
      </c>
      <c r="AT49" s="9">
        <f t="shared" si="14"/>
        <v>1.0265498598535805</v>
      </c>
      <c r="AU49" s="9">
        <f t="shared" si="15"/>
        <v>1</v>
      </c>
      <c r="AV49" s="9">
        <f t="shared" si="16"/>
        <v>1</v>
      </c>
    </row>
    <row r="50" spans="1:48" ht="15.75">
      <c r="A50">
        <f t="shared" si="17"/>
        <v>46</v>
      </c>
      <c r="B50" s="9">
        <v>2020</v>
      </c>
      <c r="C50" s="9" t="s">
        <v>89</v>
      </c>
      <c r="D50" s="9" t="s">
        <v>88</v>
      </c>
      <c r="E50" s="7" t="s">
        <v>6</v>
      </c>
      <c r="F50" s="20" t="s">
        <v>81</v>
      </c>
      <c r="G50" s="7" t="s">
        <v>8</v>
      </c>
      <c r="H50" s="7" t="s">
        <v>9</v>
      </c>
      <c r="I50" s="9" t="s">
        <v>45</v>
      </c>
      <c r="J50" s="9">
        <v>500</v>
      </c>
      <c r="K50" s="9">
        <v>0.8</v>
      </c>
      <c r="L50" s="21">
        <f>'[255]Arc Results'!$I$10960+'[255]Arc Results'!$I$10971+'[255]Arc Results'!$I$10982+'[255]Arc Results'!$I$10993+'[255]Arc Results'!$I$11004+'[255]Arc Results'!$I$11015+'[255]Arc Results'!$I$11026+'[255]Arc Results'!$I$11037+'[255]Arc Results'!$I$11048+'[255]Arc Results'!$I$11059+'[255]Arc Results'!$I$11070+'[255]Arc Results'!$I$11081+'[255]Arc Results'!$I$11092+'[255]Arc Results'!$I$11103+'[255]Arc Results'!$I$11114+'[255]Arc Results'!$I$11125+'[255]Arc Results'!$I$11136+'[255]Arc Results'!$I$11147+'[255]Arc Results'!$I$11158+'[255]Arc Results'!$I$11169+'[255]Arc Results'!$I$11180+'[255]Arc Results'!$I$11191+'[255]Arc Results'!$I$11202+'[255]Arc Results'!$I$11213+'[255]Arc Results'!$I$11224+'[255]Arc Results'!$I$11235+'[255]Arc Results'!$I$11246+'[255]Arc Results'!$I$11257+'[255]Arc Results'!$I$11268</f>
        <v>3207.5189747654194</v>
      </c>
      <c r="M50" s="21">
        <f>'[255]Arc Results'!$I$257</f>
        <v>14223.844769725043</v>
      </c>
      <c r="N50" s="21">
        <f t="shared" si="1"/>
        <v>5582.843655589124</v>
      </c>
      <c r="O50" s="21">
        <f t="shared" si="2"/>
        <v>8829.5317220543802</v>
      </c>
      <c r="P50" s="22">
        <f t="shared" si="3"/>
        <v>5537.5921450151054</v>
      </c>
      <c r="Q50" s="22">
        <f t="shared" si="4"/>
        <v>1274.2997410716221</v>
      </c>
      <c r="R50" s="22">
        <f t="shared" si="5"/>
        <v>672</v>
      </c>
      <c r="S50" s="22">
        <f t="shared" si="6"/>
        <v>271.22356495468279</v>
      </c>
      <c r="T50" s="22">
        <f t="shared" si="7"/>
        <v>6130</v>
      </c>
      <c r="U50" s="21" t="str">
        <f>[255]Log!$K$2</f>
        <v>338.166.135,34</v>
      </c>
      <c r="V50" s="21" t="str">
        <f>[255]Log!$J$2</f>
        <v>88.973.415,72</v>
      </c>
      <c r="W50" s="21" t="str">
        <f>[255]Log!$N$2</f>
        <v>35.380.701,91</v>
      </c>
      <c r="X50" s="23">
        <f t="shared" si="8"/>
        <v>0</v>
      </c>
      <c r="Y50" s="22"/>
      <c r="Z50" s="24">
        <f t="shared" si="9"/>
        <v>42521.335598409962</v>
      </c>
      <c r="AA50" s="22">
        <f>'[255]Arc Results'!$I$15</f>
        <v>90.407854984894257</v>
      </c>
      <c r="AB50" s="22">
        <f>'[255]Arc Results'!$I$26</f>
        <v>180.81570996978851</v>
      </c>
      <c r="AC50" s="22">
        <f>'[255]Arc Results'!$I$48</f>
        <v>523.05653865470367</v>
      </c>
      <c r="AD50" s="22">
        <f>'[255]Arc Results'!$I$59</f>
        <v>751.24320241691839</v>
      </c>
      <c r="AE50" s="22">
        <f>'[255]Arc Results'!$I$114</f>
        <v>335.7</v>
      </c>
      <c r="AF50" s="22">
        <f>'[255]Arc Results'!$I$125</f>
        <v>336.3</v>
      </c>
      <c r="AG50" s="22">
        <f>'[255]Arc Results'!$I$147</f>
        <v>2775.9478851963745</v>
      </c>
      <c r="AH50" s="22">
        <f>'[255]Arc Results'!$I$158</f>
        <v>2806.8957703927495</v>
      </c>
      <c r="AI50" s="22">
        <f>'[255]Arc Results'!$I$213</f>
        <v>4276.510574018127</v>
      </c>
      <c r="AJ50" s="22">
        <f>'[255]Arc Results'!$I$224</f>
        <v>4553.0211480362541</v>
      </c>
      <c r="AK50" s="22">
        <f>'[255]Arc Results'!$I$180</f>
        <v>3063</v>
      </c>
      <c r="AL50" s="22">
        <f>'[255]Arc Results'!$I$191</f>
        <v>3067</v>
      </c>
      <c r="AM50" s="22">
        <f>'[255]Arc Results'!$I$81</f>
        <v>2768.7960725075527</v>
      </c>
      <c r="AN50" s="22">
        <f>'[255]Arc Results'!$I$81</f>
        <v>2768.7960725075527</v>
      </c>
      <c r="AP50" s="9">
        <f t="shared" si="10"/>
        <v>1.3333333333333333</v>
      </c>
      <c r="AQ50" s="9">
        <f t="shared" si="11"/>
        <v>1.1790682807251622</v>
      </c>
      <c r="AR50" s="9">
        <f t="shared" si="12"/>
        <v>1.0008928571428573</v>
      </c>
      <c r="AS50" s="9">
        <f t="shared" si="13"/>
        <v>1.0055433909859526</v>
      </c>
      <c r="AT50" s="9">
        <f t="shared" si="14"/>
        <v>1.0313165615938</v>
      </c>
      <c r="AU50" s="9">
        <f t="shared" si="15"/>
        <v>1.000652528548124</v>
      </c>
      <c r="AV50" s="9">
        <f t="shared" si="16"/>
        <v>1</v>
      </c>
    </row>
    <row r="51" spans="1:48" ht="15.75">
      <c r="A51">
        <f t="shared" si="17"/>
        <v>47</v>
      </c>
      <c r="B51" s="9">
        <v>2020</v>
      </c>
      <c r="C51" s="9" t="s">
        <v>89</v>
      </c>
      <c r="D51" s="9" t="s">
        <v>88</v>
      </c>
      <c r="E51" s="7" t="s">
        <v>6</v>
      </c>
      <c r="F51" s="20" t="s">
        <v>82</v>
      </c>
      <c r="G51" s="7" t="s">
        <v>8</v>
      </c>
      <c r="H51" s="7" t="s">
        <v>9</v>
      </c>
      <c r="I51" s="9" t="s">
        <v>45</v>
      </c>
      <c r="J51" s="9">
        <v>500</v>
      </c>
      <c r="K51" s="9">
        <v>0.8</v>
      </c>
      <c r="L51" s="21">
        <f>'[256]Arc Results'!$I$10960+'[256]Arc Results'!$I$10971+'[256]Arc Results'!$I$10982+'[256]Arc Results'!$I$10993+'[256]Arc Results'!$I$11004+'[256]Arc Results'!$I$11015+'[256]Arc Results'!$I$11026+'[256]Arc Results'!$I$11037+'[256]Arc Results'!$I$11048+'[256]Arc Results'!$I$11059+'[256]Arc Results'!$I$11070+'[256]Arc Results'!$I$11081+'[256]Arc Results'!$I$11092+'[256]Arc Results'!$I$11103+'[256]Arc Results'!$I$11114+'[256]Arc Results'!$I$11125+'[256]Arc Results'!$I$11136+'[256]Arc Results'!$I$11147+'[256]Arc Results'!$I$11158+'[256]Arc Results'!$I$11169+'[256]Arc Results'!$I$11180+'[256]Arc Results'!$I$11191+'[256]Arc Results'!$I$11202+'[256]Arc Results'!$I$11213+'[256]Arc Results'!$I$11224+'[256]Arc Results'!$I$11235+'[256]Arc Results'!$I$11246+'[256]Arc Results'!$I$11257+'[256]Arc Results'!$I$11268</f>
        <v>3170.4988409445514</v>
      </c>
      <c r="M51" s="21">
        <f>'[256]Arc Results'!$I$257</f>
        <v>14223.844769725045</v>
      </c>
      <c r="N51" s="21">
        <f t="shared" si="1"/>
        <v>5490</v>
      </c>
      <c r="O51" s="21">
        <f t="shared" si="2"/>
        <v>8922.2019314039462</v>
      </c>
      <c r="P51" s="22">
        <f t="shared" si="3"/>
        <v>5537.5921450151054</v>
      </c>
      <c r="Q51" s="22">
        <f t="shared" si="4"/>
        <v>1360.8134441087614</v>
      </c>
      <c r="R51" s="22">
        <f t="shared" si="5"/>
        <v>453.87915407854985</v>
      </c>
      <c r="S51" s="22">
        <f t="shared" si="6"/>
        <v>289.30513595166161</v>
      </c>
      <c r="T51" s="22">
        <f t="shared" si="7"/>
        <v>6130.0000000000009</v>
      </c>
      <c r="U51" s="21" t="str">
        <f>[256]Log!$K$2</f>
        <v>356.417.712,39</v>
      </c>
      <c r="V51" s="21" t="str">
        <f>[256]Log!$J$2</f>
        <v>88.973.415,72</v>
      </c>
      <c r="W51" s="21" t="str">
        <f>[256]Log!$N$2</f>
        <v>35.380.701,91</v>
      </c>
      <c r="X51" s="23">
        <f t="shared" si="8"/>
        <v>0</v>
      </c>
      <c r="Y51" s="22"/>
      <c r="Z51" s="24">
        <f t="shared" si="9"/>
        <v>42407.63658028307</v>
      </c>
      <c r="AA51" s="22">
        <f>'[256]Arc Results'!$I$15</f>
        <v>108.48942598187311</v>
      </c>
      <c r="AB51" s="22">
        <f>'[256]Arc Results'!$I$26</f>
        <v>180.81570996978851</v>
      </c>
      <c r="AC51" s="22">
        <f>'[256]Arc Results'!$I$48</f>
        <v>562.34592145015108</v>
      </c>
      <c r="AD51" s="22">
        <f>'[256]Arc Results'!$I$59</f>
        <v>798.46752265861028</v>
      </c>
      <c r="AE51" s="22">
        <f>'[256]Arc Results'!$I$114</f>
        <v>216.95468277945619</v>
      </c>
      <c r="AF51" s="22">
        <f>'[256]Arc Results'!$I$125</f>
        <v>236.92447129909365</v>
      </c>
      <c r="AG51" s="22">
        <f>'[256]Arc Results'!$I$147</f>
        <v>2745</v>
      </c>
      <c r="AH51" s="22">
        <f>'[256]Arc Results'!$I$158</f>
        <v>2745</v>
      </c>
      <c r="AI51" s="22">
        <f>'[256]Arc Results'!$I$213</f>
        <v>4331.8126888217521</v>
      </c>
      <c r="AJ51" s="22">
        <f>'[256]Arc Results'!$I$224</f>
        <v>4590.389242582195</v>
      </c>
      <c r="AK51" s="22">
        <f>'[256]Arc Results'!$I$180</f>
        <v>3063</v>
      </c>
      <c r="AL51" s="22">
        <f>'[256]Arc Results'!$I$191</f>
        <v>3067.0000000000009</v>
      </c>
      <c r="AM51" s="22">
        <f>'[256]Arc Results'!$I$81</f>
        <v>2768.7960725075527</v>
      </c>
      <c r="AN51" s="22">
        <f>'[256]Arc Results'!$I$81</f>
        <v>2768.7960725075527</v>
      </c>
      <c r="AP51" s="9">
        <f t="shared" si="10"/>
        <v>1.25</v>
      </c>
      <c r="AQ51" s="9">
        <f t="shared" si="11"/>
        <v>1.1735150414854274</v>
      </c>
      <c r="AR51" s="9">
        <f t="shared" si="12"/>
        <v>1.0439980297402718</v>
      </c>
      <c r="AS51" s="9">
        <f t="shared" si="13"/>
        <v>1</v>
      </c>
      <c r="AT51" s="9">
        <f t="shared" si="14"/>
        <v>1.0289812487711489</v>
      </c>
      <c r="AU51" s="9">
        <f t="shared" si="15"/>
        <v>1.000652528548124</v>
      </c>
      <c r="AV51" s="9">
        <f t="shared" si="16"/>
        <v>1</v>
      </c>
    </row>
    <row r="52" spans="1:48" ht="15.75">
      <c r="A52">
        <f t="shared" si="17"/>
        <v>48</v>
      </c>
      <c r="B52" s="9">
        <v>2020</v>
      </c>
      <c r="C52" s="9" t="s">
        <v>89</v>
      </c>
      <c r="D52" s="9" t="s">
        <v>88</v>
      </c>
      <c r="E52" s="7" t="s">
        <v>6</v>
      </c>
      <c r="F52" s="20" t="s">
        <v>83</v>
      </c>
      <c r="G52" s="7" t="s">
        <v>8</v>
      </c>
      <c r="H52" s="7" t="s">
        <v>9</v>
      </c>
      <c r="I52" s="9" t="s">
        <v>45</v>
      </c>
      <c r="J52" s="9">
        <v>500</v>
      </c>
      <c r="K52" s="9">
        <v>0.8</v>
      </c>
      <c r="L52" s="21">
        <f>'[257]Arc Results'!$I$10960+'[257]Arc Results'!$I$10971+'[257]Arc Results'!$I$10982+'[257]Arc Results'!$I$10993+'[257]Arc Results'!$I$11004+'[257]Arc Results'!$I$11015+'[257]Arc Results'!$I$11026+'[257]Arc Results'!$I$11037+'[257]Arc Results'!$I$11048+'[257]Arc Results'!$I$11059+'[257]Arc Results'!$I$11070+'[257]Arc Results'!$I$11081+'[257]Arc Results'!$I$11092+'[257]Arc Results'!$I$11103+'[257]Arc Results'!$I$11114+'[257]Arc Results'!$I$11125+'[257]Arc Results'!$I$11136+'[257]Arc Results'!$I$11147+'[257]Arc Results'!$I$11158+'[257]Arc Results'!$I$11169+'[257]Arc Results'!$I$11180+'[257]Arc Results'!$I$11191+'[257]Arc Results'!$I$11202+'[257]Arc Results'!$I$11213+'[257]Arc Results'!$I$11224+'[257]Arc Results'!$I$11235+'[257]Arc Results'!$I$11246+'[257]Arc Results'!$I$11257+'[257]Arc Results'!$I$11268</f>
        <v>3289.3548508983395</v>
      </c>
      <c r="M52" s="21">
        <f>'[257]Arc Results'!$I$257</f>
        <v>14223.844769725041</v>
      </c>
      <c r="N52" s="21">
        <f t="shared" si="1"/>
        <v>5619.9811178247728</v>
      </c>
      <c r="O52" s="21">
        <f t="shared" si="2"/>
        <v>8000</v>
      </c>
      <c r="P52" s="22">
        <f t="shared" si="3"/>
        <v>5992.388217522659</v>
      </c>
      <c r="Q52" s="22">
        <f t="shared" si="4"/>
        <v>1582.8680945459328</v>
      </c>
      <c r="R52" s="22">
        <f t="shared" si="5"/>
        <v>478.84138972809666</v>
      </c>
      <c r="S52" s="22">
        <f t="shared" si="6"/>
        <v>379.71299093655591</v>
      </c>
      <c r="T52" s="22">
        <f t="shared" si="7"/>
        <v>6130</v>
      </c>
      <c r="U52" s="21" t="str">
        <f>[257]Log!$K$2</f>
        <v>364.405.526,14</v>
      </c>
      <c r="V52" s="21" t="str">
        <f>[257]Log!$J$2</f>
        <v>88.973.415,72</v>
      </c>
      <c r="W52" s="21" t="str">
        <f>[257]Log!$N$2</f>
        <v>35.380.701,91</v>
      </c>
      <c r="X52" s="23">
        <f t="shared" si="8"/>
        <v>0</v>
      </c>
      <c r="Y52" s="22"/>
      <c r="Z52" s="24">
        <f t="shared" si="9"/>
        <v>42407.636580283062</v>
      </c>
      <c r="AA52" s="22">
        <f>'[257]Arc Results'!$I$15</f>
        <v>144.65256797583081</v>
      </c>
      <c r="AB52" s="22">
        <f>'[257]Arc Results'!$I$26</f>
        <v>235.06042296072508</v>
      </c>
      <c r="AC52" s="22">
        <f>'[257]Arc Results'!$I$48</f>
        <v>689.95193140393894</v>
      </c>
      <c r="AD52" s="22">
        <f>'[257]Arc Results'!$I$59</f>
        <v>892.91616314199393</v>
      </c>
      <c r="AE52" s="22">
        <f>'[257]Arc Results'!$I$114</f>
        <v>226.93957703927492</v>
      </c>
      <c r="AF52" s="22">
        <f>'[257]Arc Results'!$I$125</f>
        <v>251.90181268882174</v>
      </c>
      <c r="AG52" s="22">
        <f>'[257]Arc Results'!$I$147</f>
        <v>2794.5166163141994</v>
      </c>
      <c r="AH52" s="22">
        <f>'[257]Arc Results'!$I$158</f>
        <v>2825.4645015105739</v>
      </c>
      <c r="AI52" s="22">
        <f>'[257]Arc Results'!$I$213</f>
        <v>4000</v>
      </c>
      <c r="AJ52" s="22">
        <f>'[257]Arc Results'!$I$224</f>
        <v>4000</v>
      </c>
      <c r="AK52" s="22">
        <f>'[257]Arc Results'!$I$180</f>
        <v>3063</v>
      </c>
      <c r="AL52" s="22">
        <f>'[257]Arc Results'!$I$191</f>
        <v>3067</v>
      </c>
      <c r="AM52" s="22">
        <f>'[257]Arc Results'!$I$81</f>
        <v>2996.1941087613295</v>
      </c>
      <c r="AN52" s="22">
        <f>'[257]Arc Results'!$I$81</f>
        <v>2996.1941087613295</v>
      </c>
      <c r="AP52" s="9">
        <f t="shared" si="10"/>
        <v>1.2380952380952381</v>
      </c>
      <c r="AQ52" s="9">
        <f t="shared" si="11"/>
        <v>1.128225613010589</v>
      </c>
      <c r="AR52" s="9">
        <f t="shared" si="12"/>
        <v>1.05213048868587</v>
      </c>
      <c r="AS52" s="9">
        <f t="shared" si="13"/>
        <v>1.0055067596398533</v>
      </c>
      <c r="AT52" s="9">
        <f t="shared" si="14"/>
        <v>1</v>
      </c>
      <c r="AU52" s="9">
        <f t="shared" si="15"/>
        <v>1.000652528548124</v>
      </c>
      <c r="AV52" s="9">
        <f t="shared" si="16"/>
        <v>1</v>
      </c>
    </row>
    <row r="53" spans="1:48" ht="15.75">
      <c r="A53">
        <f t="shared" si="17"/>
        <v>49</v>
      </c>
      <c r="B53" s="9">
        <v>2020</v>
      </c>
      <c r="C53" s="9" t="s">
        <v>89</v>
      </c>
      <c r="D53" s="9" t="s">
        <v>88</v>
      </c>
      <c r="E53" s="7" t="s">
        <v>6</v>
      </c>
      <c r="F53" s="20" t="s">
        <v>84</v>
      </c>
      <c r="G53" s="7" t="s">
        <v>8</v>
      </c>
      <c r="H53" s="7" t="s">
        <v>9</v>
      </c>
      <c r="I53" s="9" t="s">
        <v>45</v>
      </c>
      <c r="J53" s="9">
        <v>500</v>
      </c>
      <c r="K53" s="9">
        <v>0.8</v>
      </c>
      <c r="L53" s="21">
        <f>'[258]Arc Results'!$I$10960+'[258]Arc Results'!$I$10971+'[258]Arc Results'!$I$10982+'[258]Arc Results'!$I$10993+'[258]Arc Results'!$I$11004+'[258]Arc Results'!$I$11015+'[258]Arc Results'!$I$11026+'[258]Arc Results'!$I$11037+'[258]Arc Results'!$I$11048+'[258]Arc Results'!$I$11059+'[258]Arc Results'!$I$11070+'[258]Arc Results'!$I$11081+'[258]Arc Results'!$I$11092+'[258]Arc Results'!$I$11103+'[258]Arc Results'!$I$11114+'[258]Arc Results'!$I$11125+'[258]Arc Results'!$I$11136+'[258]Arc Results'!$I$11147+'[258]Arc Results'!$I$11158+'[258]Arc Results'!$I$11169+'[258]Arc Results'!$I$11180+'[258]Arc Results'!$I$11191+'[258]Arc Results'!$I$11202+'[258]Arc Results'!$I$11213+'[258]Arc Results'!$I$11224+'[258]Arc Results'!$I$11235+'[258]Arc Results'!$I$11246+'[258]Arc Results'!$I$11257+'[258]Arc Results'!$I$11268</f>
        <v>3425.7464672125489</v>
      </c>
      <c r="M53" s="21">
        <f>'[258]Arc Results'!$I$257</f>
        <v>14223.844769725043</v>
      </c>
      <c r="N53" s="21">
        <f t="shared" si="1"/>
        <v>5657.1185800604235</v>
      </c>
      <c r="O53" s="21">
        <f t="shared" si="2"/>
        <v>9493.1570996978844</v>
      </c>
      <c r="P53" s="22">
        <f t="shared" si="3"/>
        <v>4628</v>
      </c>
      <c r="Q53" s="22">
        <f t="shared" si="4"/>
        <v>1847.012732008177</v>
      </c>
      <c r="R53" s="22">
        <f t="shared" si="5"/>
        <v>508.79607250755282</v>
      </c>
      <c r="S53" s="22">
        <f t="shared" si="6"/>
        <v>488.20241691842898</v>
      </c>
      <c r="T53" s="22">
        <f t="shared" si="7"/>
        <v>6130</v>
      </c>
      <c r="U53" s="21" t="str">
        <f>[258]Log!$K$2</f>
        <v>354.737.724,05</v>
      </c>
      <c r="V53" s="21" t="str">
        <f>[258]Log!$J$2</f>
        <v>88.973.415,72</v>
      </c>
      <c r="W53" s="21" t="str">
        <f>[258]Log!$N$2</f>
        <v>35.380.701,91</v>
      </c>
      <c r="X53" s="23">
        <f t="shared" si="8"/>
        <v>0</v>
      </c>
      <c r="Y53" s="22"/>
      <c r="Z53" s="24">
        <f t="shared" si="9"/>
        <v>42976.131670917508</v>
      </c>
      <c r="AA53" s="22">
        <f>'[258]Arc Results'!$I$15</f>
        <v>198.89728096676737</v>
      </c>
      <c r="AB53" s="22">
        <f>'[258]Arc Results'!$I$26</f>
        <v>289.30513595166161</v>
      </c>
      <c r="AC53" s="22">
        <f>'[258]Arc Results'!$I$48</f>
        <v>812.42360814110748</v>
      </c>
      <c r="AD53" s="22">
        <f>'[258]Arc Results'!$I$59</f>
        <v>1034.5891238670695</v>
      </c>
      <c r="AE53" s="22">
        <f>'[258]Arc Results'!$I$114</f>
        <v>241.916918429003</v>
      </c>
      <c r="AF53" s="22">
        <f>'[258]Arc Results'!$I$125</f>
        <v>266.87915407854985</v>
      </c>
      <c r="AG53" s="22">
        <f>'[258]Arc Results'!$I$147</f>
        <v>2813.0853474320243</v>
      </c>
      <c r="AH53" s="22">
        <f>'[258]Arc Results'!$I$158</f>
        <v>2844.0332326283988</v>
      </c>
      <c r="AI53" s="22">
        <f>'[258]Arc Results'!$I$213</f>
        <v>4608.3232628398791</v>
      </c>
      <c r="AJ53" s="22">
        <f>'[258]Arc Results'!$I$224</f>
        <v>4884.8338368580062</v>
      </c>
      <c r="AK53" s="22">
        <f>'[258]Arc Results'!$I$180</f>
        <v>3063</v>
      </c>
      <c r="AL53" s="22">
        <f>'[258]Arc Results'!$I$191</f>
        <v>3067</v>
      </c>
      <c r="AM53" s="22">
        <f>'[258]Arc Results'!$I$81</f>
        <v>2314</v>
      </c>
      <c r="AN53" s="22">
        <f>'[258]Arc Results'!$I$81</f>
        <v>2314</v>
      </c>
      <c r="AP53" s="9">
        <f t="shared" si="10"/>
        <v>1.1851851851851851</v>
      </c>
      <c r="AQ53" s="9">
        <f t="shared" si="11"/>
        <v>1.1202836947877512</v>
      </c>
      <c r="AR53" s="9">
        <f t="shared" si="12"/>
        <v>1.0490613764499457</v>
      </c>
      <c r="AS53" s="9">
        <f t="shared" si="13"/>
        <v>1.0054706092436272</v>
      </c>
      <c r="AT53" s="9">
        <f t="shared" si="14"/>
        <v>1.0291273568017669</v>
      </c>
      <c r="AU53" s="9">
        <f t="shared" si="15"/>
        <v>1.000652528548124</v>
      </c>
      <c r="AV53" s="9">
        <f t="shared" si="16"/>
        <v>1</v>
      </c>
    </row>
    <row r="54" spans="1:48" ht="15.75">
      <c r="A54">
        <f t="shared" si="17"/>
        <v>50</v>
      </c>
      <c r="B54" s="9">
        <v>2020</v>
      </c>
      <c r="C54" s="9" t="s">
        <v>89</v>
      </c>
      <c r="D54" s="9" t="s">
        <v>88</v>
      </c>
      <c r="E54" s="7" t="s">
        <v>6</v>
      </c>
      <c r="F54" s="20" t="s">
        <v>85</v>
      </c>
      <c r="G54" s="7" t="s">
        <v>8</v>
      </c>
      <c r="H54" s="7" t="s">
        <v>9</v>
      </c>
      <c r="I54" s="9" t="s">
        <v>45</v>
      </c>
      <c r="J54" s="9">
        <v>500</v>
      </c>
      <c r="K54" s="9">
        <v>0.8</v>
      </c>
      <c r="L54" s="21">
        <f>'[259]Arc Results'!$I$10960+'[259]Arc Results'!$I$10971+'[259]Arc Results'!$I$10982+'[259]Arc Results'!$I$10993+'[259]Arc Results'!$I$11004+'[259]Arc Results'!$I$11015+'[259]Arc Results'!$I$11026+'[259]Arc Results'!$I$11037+'[259]Arc Results'!$I$11048+'[259]Arc Results'!$I$11059+'[259]Arc Results'!$I$11070+'[259]Arc Results'!$I$11081+'[259]Arc Results'!$I$11092+'[259]Arc Results'!$I$11103+'[259]Arc Results'!$I$11114+'[259]Arc Results'!$I$11125+'[259]Arc Results'!$I$11136+'[259]Arc Results'!$I$11147+'[259]Arc Results'!$I$11158+'[259]Arc Results'!$I$11169+'[259]Arc Results'!$I$11180+'[259]Arc Results'!$I$11191+'[259]Arc Results'!$I$11202+'[259]Arc Results'!$I$11213+'[259]Arc Results'!$I$11224+'[259]Arc Results'!$I$11235+'[259]Arc Results'!$I$11246+'[259]Arc Results'!$I$11257+'[259]Arc Results'!$I$11268</f>
        <v>3260.3027360947217</v>
      </c>
      <c r="M54" s="21">
        <f>'[259]Arc Results'!$I$257</f>
        <v>14223.844769725054</v>
      </c>
      <c r="N54" s="21">
        <f t="shared" si="1"/>
        <v>5595.2228096676736</v>
      </c>
      <c r="O54" s="21">
        <f t="shared" si="2"/>
        <v>8940.368472189446</v>
      </c>
      <c r="P54" s="22">
        <f t="shared" si="3"/>
        <v>5764.9901812688822</v>
      </c>
      <c r="Q54" s="22">
        <f t="shared" si="4"/>
        <v>1408.037764350453</v>
      </c>
      <c r="R54" s="22">
        <f t="shared" si="5"/>
        <v>458.8716012084592</v>
      </c>
      <c r="S54" s="22">
        <f t="shared" si="6"/>
        <v>0</v>
      </c>
      <c r="T54" s="22">
        <f t="shared" si="7"/>
        <v>6130</v>
      </c>
      <c r="U54" s="21" t="str">
        <f>[259]Log!$K$2</f>
        <v>340.131.074,39</v>
      </c>
      <c r="V54" s="21" t="str">
        <f>[259]Log!$J$2</f>
        <v>88.973.415,72</v>
      </c>
      <c r="W54" s="21" t="str">
        <f>[259]Log!$N$2</f>
        <v>35.380.701,91</v>
      </c>
      <c r="X54" s="23">
        <f t="shared" si="8"/>
        <v>0</v>
      </c>
      <c r="Y54" s="22"/>
      <c r="Z54" s="24">
        <f t="shared" si="9"/>
        <v>42521.335598409976</v>
      </c>
      <c r="AA54" s="22">
        <f>'[259]Arc Results'!$I$15</f>
        <v>0</v>
      </c>
      <c r="AB54" s="22">
        <f>'[259]Arc Results'!$I$26</f>
        <v>0</v>
      </c>
      <c r="AC54" s="22">
        <f>'[259]Arc Results'!$I$48</f>
        <v>609.57024169184285</v>
      </c>
      <c r="AD54" s="22">
        <f>'[259]Arc Results'!$I$59</f>
        <v>798.46752265861028</v>
      </c>
      <c r="AE54" s="22">
        <f>'[259]Arc Results'!$I$114</f>
        <v>216.95468277945619</v>
      </c>
      <c r="AF54" s="22">
        <f>'[259]Arc Results'!$I$125</f>
        <v>241.916918429003</v>
      </c>
      <c r="AG54" s="22">
        <f>'[259]Arc Results'!$I$147</f>
        <v>2782.1374622356498</v>
      </c>
      <c r="AH54" s="22">
        <f>'[259]Arc Results'!$I$158</f>
        <v>2813.0853474320243</v>
      </c>
      <c r="AI54" s="22">
        <f>'[259]Arc Results'!$I$213</f>
        <v>4332.045209349566</v>
      </c>
      <c r="AJ54" s="22">
        <f>'[259]Arc Results'!$I$224</f>
        <v>4608.3232628398791</v>
      </c>
      <c r="AK54" s="22">
        <f>'[259]Arc Results'!$I$180</f>
        <v>3063</v>
      </c>
      <c r="AL54" s="22">
        <f>'[259]Arc Results'!$I$191</f>
        <v>3067</v>
      </c>
      <c r="AM54" s="22">
        <f>'[259]Arc Results'!$I$81</f>
        <v>2882.4950906344411</v>
      </c>
      <c r="AN54" s="22">
        <f>'[259]Arc Results'!$I$81</f>
        <v>2882.4950906344411</v>
      </c>
      <c r="AP54" s="9" t="e">
        <f t="shared" si="10"/>
        <v>#DIV/0!</v>
      </c>
      <c r="AQ54" s="9">
        <f t="shared" si="11"/>
        <v>1.134156402441314</v>
      </c>
      <c r="AR54" s="9">
        <f t="shared" si="12"/>
        <v>1.0543991730667308</v>
      </c>
      <c r="AS54" s="9">
        <f t="shared" si="13"/>
        <v>1.0055311265072235</v>
      </c>
      <c r="AT54" s="9">
        <f t="shared" si="14"/>
        <v>1.0309023117279474</v>
      </c>
      <c r="AU54" s="9">
        <f t="shared" si="15"/>
        <v>1.000652528548124</v>
      </c>
      <c r="AV54" s="9">
        <f t="shared" si="16"/>
        <v>1</v>
      </c>
    </row>
    <row r="55" spans="1:48" ht="15.75">
      <c r="A55">
        <f t="shared" si="17"/>
        <v>51</v>
      </c>
      <c r="B55" s="9">
        <v>2020</v>
      </c>
      <c r="C55" s="9" t="s">
        <v>89</v>
      </c>
      <c r="D55" s="9" t="s">
        <v>88</v>
      </c>
      <c r="E55" s="7" t="s">
        <v>6</v>
      </c>
      <c r="F55" s="20" t="s">
        <v>86</v>
      </c>
      <c r="G55" s="7" t="s">
        <v>8</v>
      </c>
      <c r="H55" s="7" t="s">
        <v>9</v>
      </c>
      <c r="I55" s="9" t="s">
        <v>45</v>
      </c>
      <c r="J55" s="9">
        <v>500</v>
      </c>
      <c r="K55" s="9">
        <v>0.8</v>
      </c>
      <c r="L55" s="21">
        <f>'[260]Arc Results'!$I$10960+'[260]Arc Results'!$I$10971+'[260]Arc Results'!$I$10982+'[260]Arc Results'!$I$10993+'[260]Arc Results'!$I$11004+'[260]Arc Results'!$I$11015+'[260]Arc Results'!$I$11026+'[260]Arc Results'!$I$11037+'[260]Arc Results'!$I$11048+'[260]Arc Results'!$I$11059+'[260]Arc Results'!$I$11070+'[260]Arc Results'!$I$11081+'[260]Arc Results'!$I$11092+'[260]Arc Results'!$I$11103+'[260]Arc Results'!$I$11114+'[260]Arc Results'!$I$11125+'[260]Arc Results'!$I$11136+'[260]Arc Results'!$I$11147+'[260]Arc Results'!$I$11158+'[260]Arc Results'!$I$11169+'[260]Arc Results'!$I$11180+'[260]Arc Results'!$I$11191+'[260]Arc Results'!$I$11202+'[260]Arc Results'!$I$11213+'[260]Arc Results'!$I$11224+'[260]Arc Results'!$I$11235+'[260]Arc Results'!$I$11246+'[260]Arc Results'!$I$11257+'[260]Arc Results'!$I$11268</f>
        <v>3320.8198379234027</v>
      </c>
      <c r="M55" s="21">
        <f>'[260]Arc Results'!$I$257</f>
        <v>14223.844769725049</v>
      </c>
      <c r="N55" s="21">
        <f t="shared" si="1"/>
        <v>5613.791540785498</v>
      </c>
      <c r="O55" s="21">
        <f t="shared" si="2"/>
        <v>9106.0422960725082</v>
      </c>
      <c r="P55" s="22">
        <f t="shared" si="3"/>
        <v>5992.388217522659</v>
      </c>
      <c r="Q55" s="22">
        <f t="shared" si="4"/>
        <v>558</v>
      </c>
      <c r="R55" s="22">
        <f t="shared" si="5"/>
        <v>473.84894259818731</v>
      </c>
      <c r="S55" s="22">
        <f t="shared" si="6"/>
        <v>361.63141993957703</v>
      </c>
      <c r="T55" s="22">
        <f t="shared" si="7"/>
        <v>6130</v>
      </c>
      <c r="U55" s="21" t="str">
        <f>[260]Log!$K$2</f>
        <v>342.104.967,73</v>
      </c>
      <c r="V55" s="21" t="str">
        <f>[260]Log!$J$2</f>
        <v>88.973.415,72</v>
      </c>
      <c r="W55" s="21" t="str">
        <f>[260]Log!$N$2</f>
        <v>35.380.701,91</v>
      </c>
      <c r="X55" s="23">
        <f t="shared" si="8"/>
        <v>0</v>
      </c>
      <c r="Y55" s="22"/>
      <c r="Z55" s="24">
        <f t="shared" si="9"/>
        <v>42459.547186643482</v>
      </c>
      <c r="AA55" s="22">
        <f>'[260]Arc Results'!$I$15</f>
        <v>144.65256797583081</v>
      </c>
      <c r="AB55" s="22">
        <f>'[260]Arc Results'!$I$26</f>
        <v>216.97885196374622</v>
      </c>
      <c r="AC55" s="22">
        <f>'[260]Arc Results'!$I$48</f>
        <v>279</v>
      </c>
      <c r="AD55" s="22">
        <f>'[260]Arc Results'!$I$59</f>
        <v>279</v>
      </c>
      <c r="AE55" s="22">
        <f>'[260]Arc Results'!$I$114</f>
        <v>226.93957703927492</v>
      </c>
      <c r="AF55" s="22">
        <f>'[260]Arc Results'!$I$125</f>
        <v>246.90936555891238</v>
      </c>
      <c r="AG55" s="22">
        <f>'[260]Arc Results'!$I$147</f>
        <v>2794.5166163141994</v>
      </c>
      <c r="AH55" s="22">
        <f>'[260]Arc Results'!$I$158</f>
        <v>2819.2749244712991</v>
      </c>
      <c r="AI55" s="22">
        <f>'[260]Arc Results'!$I$213</f>
        <v>4442.4169184290031</v>
      </c>
      <c r="AJ55" s="22">
        <f>'[260]Arc Results'!$I$224</f>
        <v>4663.6253776435042</v>
      </c>
      <c r="AK55" s="22">
        <f>'[260]Arc Results'!$I$180</f>
        <v>3063</v>
      </c>
      <c r="AL55" s="22">
        <f>'[260]Arc Results'!$I$191</f>
        <v>3066.9999999999995</v>
      </c>
      <c r="AM55" s="22">
        <f>'[260]Arc Results'!$I$81</f>
        <v>2996.1941087613295</v>
      </c>
      <c r="AN55" s="22">
        <f>'[260]Arc Results'!$I$81</f>
        <v>2996.1941087613295</v>
      </c>
      <c r="AP55" s="9">
        <f t="shared" si="10"/>
        <v>1.2</v>
      </c>
      <c r="AQ55" s="9">
        <f t="shared" si="11"/>
        <v>1</v>
      </c>
      <c r="AR55" s="9">
        <f t="shared" si="12"/>
        <v>1.0421437861824487</v>
      </c>
      <c r="AS55" s="9">
        <f t="shared" si="13"/>
        <v>1.0044102649657054</v>
      </c>
      <c r="AT55" s="9">
        <f t="shared" si="14"/>
        <v>1.0242924919544805</v>
      </c>
      <c r="AU55" s="9">
        <f t="shared" si="15"/>
        <v>1.0006525285481238</v>
      </c>
      <c r="AV55" s="9">
        <f t="shared" si="16"/>
        <v>1</v>
      </c>
    </row>
    <row r="56" spans="1:48" ht="15.75">
      <c r="A56">
        <f t="shared" si="17"/>
        <v>52</v>
      </c>
      <c r="B56" s="9">
        <v>2020</v>
      </c>
      <c r="C56" s="9" t="s">
        <v>89</v>
      </c>
      <c r="D56" s="9" t="s">
        <v>88</v>
      </c>
      <c r="E56" s="7" t="s">
        <v>6</v>
      </c>
      <c r="F56" s="20" t="s">
        <v>87</v>
      </c>
      <c r="G56" s="7" t="s">
        <v>8</v>
      </c>
      <c r="H56" s="7" t="s">
        <v>9</v>
      </c>
      <c r="I56" s="9" t="s">
        <v>45</v>
      </c>
      <c r="J56" s="9">
        <v>500</v>
      </c>
      <c r="K56" s="9">
        <v>0.8</v>
      </c>
      <c r="L56" s="21">
        <f>'[261]Arc Results'!$I$10960+'[261]Arc Results'!$I$10971+'[261]Arc Results'!$I$10982+'[261]Arc Results'!$I$10993+'[261]Arc Results'!$I$11004+'[261]Arc Results'!$I$11015+'[261]Arc Results'!$I$11026+'[261]Arc Results'!$I$11037+'[261]Arc Results'!$I$11048+'[261]Arc Results'!$I$11059+'[261]Arc Results'!$I$11070+'[261]Arc Results'!$I$11081+'[261]Arc Results'!$I$11092+'[261]Arc Results'!$I$11103+'[261]Arc Results'!$I$11114+'[261]Arc Results'!$I$11125+'[261]Arc Results'!$I$11136+'[261]Arc Results'!$I$11147+'[261]Arc Results'!$I$11158+'[261]Arc Results'!$I$11169+'[261]Arc Results'!$I$11180+'[261]Arc Results'!$I$11191+'[261]Arc Results'!$I$11202+'[261]Arc Results'!$I$11213+'[261]Arc Results'!$I$11224+'[261]Arc Results'!$I$11235+'[261]Arc Results'!$I$11246+'[261]Arc Results'!$I$11257+'[261]Arc Results'!$I$11268</f>
        <v>3177.6816204007455</v>
      </c>
      <c r="M56" s="21">
        <f>'[261]Arc Results'!$I$257</f>
        <v>14223.844769725045</v>
      </c>
      <c r="N56" s="21">
        <f t="shared" si="1"/>
        <v>5589.0332326283988</v>
      </c>
      <c r="O56" s="21">
        <f t="shared" si="2"/>
        <v>8903.0478528540953</v>
      </c>
      <c r="P56" s="22">
        <f t="shared" si="3"/>
        <v>5537.5921450151054</v>
      </c>
      <c r="Q56" s="22">
        <f t="shared" si="4"/>
        <v>1360.8134441087614</v>
      </c>
      <c r="R56" s="22">
        <f t="shared" si="5"/>
        <v>374</v>
      </c>
      <c r="S56" s="22">
        <f t="shared" si="6"/>
        <v>289.30513595166161</v>
      </c>
      <c r="T56" s="22">
        <f t="shared" si="7"/>
        <v>6130</v>
      </c>
      <c r="U56" s="21" t="str">
        <f>[261]Log!$K$2</f>
        <v>341.162.184,27</v>
      </c>
      <c r="V56" s="21" t="str">
        <f>[261]Log!$J$2</f>
        <v>88.973.415,72</v>
      </c>
      <c r="W56" s="21" t="str">
        <f>[261]Log!$N$2</f>
        <v>35.380.701,91</v>
      </c>
      <c r="X56" s="23">
        <f t="shared" si="8"/>
        <v>0</v>
      </c>
      <c r="Y56" s="22"/>
      <c r="Z56" s="24">
        <f t="shared" si="9"/>
        <v>42407.636580283062</v>
      </c>
      <c r="AA56" s="22">
        <f>'[261]Arc Results'!$I$15</f>
        <v>108.48942598187311</v>
      </c>
      <c r="AB56" s="22">
        <f>'[261]Arc Results'!$I$26</f>
        <v>180.81570996978851</v>
      </c>
      <c r="AC56" s="22">
        <f>'[261]Arc Results'!$I$48</f>
        <v>562.34592145015108</v>
      </c>
      <c r="AD56" s="22">
        <f>'[261]Arc Results'!$I$59</f>
        <v>798.46752265861028</v>
      </c>
      <c r="AE56" s="22">
        <f>'[261]Arc Results'!$I$114</f>
        <v>187</v>
      </c>
      <c r="AF56" s="22">
        <f>'[261]Arc Results'!$I$125</f>
        <v>187</v>
      </c>
      <c r="AG56" s="22">
        <f>'[261]Arc Results'!$I$147</f>
        <v>2782.1374622356498</v>
      </c>
      <c r="AH56" s="22">
        <f>'[261]Arc Results'!$I$158</f>
        <v>2806.8957703927495</v>
      </c>
      <c r="AI56" s="22">
        <f>'[261]Arc Results'!$I$213</f>
        <v>4331.8126888217521</v>
      </c>
      <c r="AJ56" s="22">
        <f>'[261]Arc Results'!$I$224</f>
        <v>4571.2351640323441</v>
      </c>
      <c r="AK56" s="22">
        <f>'[261]Arc Results'!$I$180</f>
        <v>3063</v>
      </c>
      <c r="AL56" s="22">
        <f>'[261]Arc Results'!$I$191</f>
        <v>3067.0000000000005</v>
      </c>
      <c r="AM56" s="22">
        <f>'[261]Arc Results'!$I$81</f>
        <v>2768.7960725075527</v>
      </c>
      <c r="AN56" s="22">
        <f>'[261]Arc Results'!$I$81</f>
        <v>2768.7960725075527</v>
      </c>
      <c r="AP56" s="9">
        <f t="shared" si="10"/>
        <v>1.25</v>
      </c>
      <c r="AQ56" s="9">
        <f t="shared" si="11"/>
        <v>1.1735150414854274</v>
      </c>
      <c r="AR56" s="9">
        <f t="shared" si="12"/>
        <v>1</v>
      </c>
      <c r="AS56" s="9">
        <f t="shared" si="13"/>
        <v>1.0044298015643498</v>
      </c>
      <c r="AT56" s="9">
        <f t="shared" si="14"/>
        <v>1.0268921923331953</v>
      </c>
      <c r="AU56" s="9">
        <f t="shared" si="15"/>
        <v>1.000652528548124</v>
      </c>
      <c r="AV56" s="9">
        <f t="shared" si="16"/>
        <v>1</v>
      </c>
    </row>
    <row r="59" spans="1:48" ht="15.75">
      <c r="A59" s="5"/>
      <c r="B59" s="9"/>
      <c r="C59" s="9"/>
      <c r="D59" s="9"/>
      <c r="E59" s="7"/>
      <c r="F59" s="7"/>
      <c r="G59" s="7"/>
      <c r="H59" s="7"/>
      <c r="I59" s="9"/>
      <c r="J59" s="9"/>
      <c r="K59" s="9"/>
      <c r="L59" s="21"/>
      <c r="M59" s="21"/>
      <c r="N59" s="21"/>
      <c r="O59" s="21"/>
      <c r="P59" s="22"/>
      <c r="Q59" s="22"/>
      <c r="R59" s="22"/>
      <c r="S59" s="22"/>
      <c r="T59" s="22"/>
      <c r="U59" s="21"/>
      <c r="V59" s="21"/>
      <c r="W59" s="21"/>
      <c r="X59" s="23"/>
      <c r="Y59" s="22"/>
      <c r="Z59" s="24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P59" s="9" t="e">
        <f t="shared" ref="AP59" si="18">2*AB59/SUM(AA59:AB59)</f>
        <v>#DIV/0!</v>
      </c>
      <c r="AQ59" s="9" t="e">
        <f t="shared" ref="AQ59" si="19">2*AD59/SUM(AC59:AD59)</f>
        <v>#DIV/0!</v>
      </c>
      <c r="AR59" s="9" t="e">
        <f t="shared" ref="AR59" si="20">2*AF59/SUM(AE59:AF59)</f>
        <v>#DIV/0!</v>
      </c>
      <c r="AS59" s="9" t="e">
        <f t="shared" ref="AS59" si="21">2*AH59/SUM(AG59:AH59)</f>
        <v>#DIV/0!</v>
      </c>
      <c r="AT59" s="9" t="e">
        <f t="shared" ref="AT59" si="22">2*AJ59/SUM(AI59:AJ59)</f>
        <v>#DIV/0!</v>
      </c>
      <c r="AU59" s="9" t="e">
        <f t="shared" ref="AU59" si="23">2*AL59/SUM(AK59:AL59)</f>
        <v>#DIV/0!</v>
      </c>
      <c r="AV59" s="9" t="e">
        <f t="shared" ref="AV59" si="24">2*AN59/SUM(AM59:AN59)</f>
        <v>#DIV/0!</v>
      </c>
    </row>
    <row r="60" spans="1:48"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83" spans="117:117">
      <c r="DM83" s="5"/>
    </row>
    <row r="84" spans="117:117">
      <c r="DM84" s="5"/>
    </row>
  </sheetData>
  <mergeCells count="4">
    <mergeCell ref="C2:D2"/>
    <mergeCell ref="F2:I2"/>
    <mergeCell ref="N2:T2"/>
    <mergeCell ref="U2:W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First serie of test</vt:lpstr>
      <vt:lpstr>2nd serie of test</vt:lpstr>
      <vt:lpstr>3rd serie of test</vt:lpstr>
      <vt:lpstr>4th serie of test</vt:lpstr>
      <vt:lpstr>Summary</vt:lpstr>
      <vt:lpstr>5th round - case study</vt:lpstr>
      <vt:lpstr>5th round - case study (GIPL)</vt:lpstr>
      <vt:lpstr>5th round - case study (UGSGR)</vt:lpstr>
      <vt:lpstr>5th round - case study (LNGHR)</vt:lpstr>
      <vt:lpstr>stg 2x500 vs. 2x1000 green</vt:lpstr>
      <vt:lpstr>stg 2x500 vs. 2x1000 intermedia</vt:lpstr>
      <vt:lpstr>stg 2x500 intermediate vs green</vt:lpstr>
      <vt:lpstr>stg 2x1000 intermediate vs gre</vt:lpstr>
      <vt:lpstr>Sheet2</vt:lpstr>
      <vt:lpstr>Sheet3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Lebois</dc:creator>
  <cp:lastModifiedBy>Olivier Lebois</cp:lastModifiedBy>
  <dcterms:created xsi:type="dcterms:W3CDTF">2014-03-06T15:49:43Z</dcterms:created>
  <dcterms:modified xsi:type="dcterms:W3CDTF">2014-04-02T14:04:56Z</dcterms:modified>
</cp:coreProperties>
</file>